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C:\Users\SHERIDANMS\Downloads\"/>
    </mc:Choice>
  </mc:AlternateContent>
  <xr:revisionPtr revIDLastSave="0" documentId="8_{F2BBE873-24D3-4465-8AD1-87F8CBFE55C5}" xr6:coauthVersionLast="47" xr6:coauthVersionMax="47" xr10:uidLastSave="{00000000-0000-0000-0000-000000000000}"/>
  <bookViews>
    <workbookView xWindow="60015" yWindow="9855" windowWidth="17115" windowHeight="28485" tabRatio="764" xr2:uid="{00000000-000D-0000-FFFF-FFFF00000000}"/>
  </bookViews>
  <sheets>
    <sheet name="Estimator Tool &amp; Fees" sheetId="10" r:id="rId1"/>
    <sheet name="Instructions" sheetId="20" r:id="rId2"/>
    <sheet name="FAQs" sheetId="19" r:id="rId3"/>
    <sheet name="IIA Boundaries" sheetId="18" r:id="rId4"/>
    <sheet name="DropDownDef" sheetId="11" state="hidden" r:id="rId5"/>
  </sheets>
  <definedNames>
    <definedName name="Checklist">DropDownDef!$F$1:$F$2</definedName>
    <definedName name="City_County">DropDownDef!$C$1:$C$3</definedName>
    <definedName name="CommercialCat">'Estimator Tool &amp; Fees'!$C$149:$C$175</definedName>
    <definedName name="ConnectionType">DropDownDef!$D$1:$D$4</definedName>
    <definedName name="_xlnm.Database">#REF!</definedName>
    <definedName name="IIA">DropDownDef!$K$1:$K$8</definedName>
    <definedName name="InspectionFees">DropDownDef!$J$1:$J$4</definedName>
    <definedName name="Meter">DropDownDef!$B$1:$B$10</definedName>
    <definedName name="Meter_Size">DropDownDef!#REF!</definedName>
    <definedName name="MeterInstallType">DropDownDef!$G$1:$G$3</definedName>
    <definedName name="MeterSize">DropDownDef!#REF!</definedName>
    <definedName name="MeterSizes">DropDownDef!$B$1:$B$9</definedName>
    <definedName name="NonResCat">DropDownDef!$H$1:$H$7</definedName>
    <definedName name="NonResCategories">'Estimator Tool &amp; Fees'!$C$149:$H$176</definedName>
    <definedName name="NonResidentialCat">'Estimator Tool &amp; Fees'!$C$149:$C$176</definedName>
    <definedName name="_xlnm.Print_Area" localSheetId="0">'Estimator Tool &amp; Fees'!$B$68:$K$125</definedName>
    <definedName name="_xlnm.Print_Titles" localSheetId="1">Instructions!$1:$1</definedName>
    <definedName name="Requests">DropDownDef!$E$1:$E$9</definedName>
    <definedName name="Tapping">DropDownDef!$I$1:$I$7</definedName>
    <definedName name="Yes_No">DropDownDef!$A$1:$A$3</definedName>
    <definedName name="YesNo">DropDownDef!$A$2:$A$3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0" l="1"/>
  <c r="G50" i="10"/>
  <c r="G51" i="10"/>
  <c r="E12" i="10"/>
  <c r="H15" i="10" l="1"/>
  <c r="G15" i="10" l="1"/>
  <c r="G14" i="10"/>
  <c r="E14" i="10"/>
  <c r="C45" i="10"/>
  <c r="C44" i="10"/>
  <c r="C43" i="10"/>
  <c r="C42" i="10"/>
  <c r="C41" i="10"/>
  <c r="C40" i="10"/>
  <c r="C39" i="10"/>
  <c r="G58" i="10" l="1"/>
  <c r="E31" i="10"/>
  <c r="E30" i="10"/>
  <c r="H3" i="11"/>
  <c r="H4" i="11" s="1"/>
  <c r="H5" i="11" s="1"/>
  <c r="H6" i="11" s="1"/>
  <c r="E29" i="10"/>
  <c r="I22" i="10"/>
  <c r="I18" i="10"/>
  <c r="G53" i="10"/>
  <c r="G12" i="10"/>
  <c r="G60" i="10" l="1"/>
  <c r="G59" i="10"/>
  <c r="E44" i="10"/>
  <c r="E42" i="10"/>
  <c r="E40" i="10"/>
  <c r="E45" i="10"/>
  <c r="E43" i="10"/>
  <c r="E41" i="10"/>
  <c r="G56" i="10" l="1"/>
  <c r="E23" i="10" l="1"/>
  <c r="E19" i="10"/>
  <c r="G54" i="10" l="1"/>
  <c r="H51" i="10"/>
  <c r="G22" i="10" l="1"/>
  <c r="G18" i="10"/>
  <c r="E22" i="10"/>
  <c r="E18" i="10"/>
  <c r="E13" i="10"/>
  <c r="G57" i="10" l="1"/>
  <c r="G61" i="10" s="1"/>
  <c r="G62" i="10" l="1"/>
  <c r="G63" i="10" s="1"/>
</calcChain>
</file>

<file path=xl/sharedStrings.xml><?xml version="1.0" encoding="utf-8"?>
<sst xmlns="http://schemas.openxmlformats.org/spreadsheetml/2006/main" count="253" uniqueCount="210">
  <si>
    <t>GRU Water/Wastewater Connection &amp; Developer Fee Estimator Tool</t>
  </si>
  <si>
    <t>"'X" = Yes</t>
  </si>
  <si>
    <t>Where is the property?</t>
  </si>
  <si>
    <t>X</t>
  </si>
  <si>
    <t>City</t>
  </si>
  <si>
    <t>County</t>
  </si>
  <si>
    <t>County but no-surcharge*</t>
  </si>
  <si>
    <t>*Federal, Florida, other government entities (e.g. County, GRU) and places of religious assembly are exempt from the surcharge tax.</t>
  </si>
  <si>
    <t>What type of connection?</t>
  </si>
  <si>
    <t>Single Family</t>
  </si>
  <si>
    <t>Multi-family</t>
  </si>
  <si>
    <t>Nonresidential</t>
  </si>
  <si>
    <t>Car wash</t>
  </si>
  <si>
    <t>What type of service?</t>
  </si>
  <si>
    <t>Water</t>
  </si>
  <si>
    <t>5/8 or 3/4 - in</t>
  </si>
  <si>
    <t>GRU Install Meter, Box, &amp; Yoke</t>
  </si>
  <si>
    <t>Wastewater</t>
  </si>
  <si>
    <t>Irrigation</t>
  </si>
  <si>
    <t>Developer fees</t>
  </si>
  <si>
    <t xml:space="preserve">Plan Review Fee:  What services are being provided? </t>
  </si>
  <si>
    <t>Inspection fee information:</t>
  </si>
  <si>
    <t>Linear feet water</t>
  </si>
  <si>
    <t>Linear feet wastewater</t>
  </si>
  <si>
    <t>Does the project have a water main tap?</t>
  </si>
  <si>
    <t>Tap Size</t>
  </si>
  <si>
    <t>THE FOLLOWING SECTION ***  ONLY APPLIES TO PROJECTS THAT ARE WITHIN THE I-DISTRICT INFRASTRUCTURE AREAS (IIA) *** [see IIA Boundaries tab]</t>
  </si>
  <si>
    <t>Is the project located within the water or wastewater I-District Infrastructure Improvement Areas (IIA)?</t>
  </si>
  <si>
    <t>Project in IIA Water Boundary</t>
  </si>
  <si>
    <t>Project in IIA Wastewater Boundary</t>
  </si>
  <si>
    <t>Estimated Connection &amp; Developer Fees Summary Table</t>
  </si>
  <si>
    <t>Connection Fees</t>
  </si>
  <si>
    <t>Water capacity connection fee</t>
  </si>
  <si>
    <t>Water meter equipment and install fee</t>
  </si>
  <si>
    <t>Wastewater capacity connection fee</t>
  </si>
  <si>
    <t>Irrigation meter equipment and install fee</t>
  </si>
  <si>
    <t>Subtotal</t>
  </si>
  <si>
    <t>Developer Fees</t>
  </si>
  <si>
    <t>Plan review fee</t>
  </si>
  <si>
    <t xml:space="preserve">Inspection fee </t>
  </si>
  <si>
    <t>Tapping fee</t>
  </si>
  <si>
    <t>IIA Water Fee</t>
  </si>
  <si>
    <t>IIA Wastewater Fee</t>
  </si>
  <si>
    <t>Surcharge  (25-percent)</t>
  </si>
  <si>
    <r>
      <t xml:space="preserve">Total </t>
    </r>
    <r>
      <rPr>
        <sz val="11"/>
        <color theme="1"/>
        <rFont val="Calibri"/>
        <family val="2"/>
        <scheme val="minor"/>
      </rPr>
      <t>(connection fees + developer fees + surcharge, if applicable)</t>
    </r>
  </si>
  <si>
    <t xml:space="preserve">Disclaimer: This spreadsheet is a tool to assist engineers and developers in estimating developer fees for a new development project as it pertains to GRU Water and Wastewater. Official Developer Fees calculated by GRU staff after 70 percent of the water and wastewater infrastructure is constructed may vary from fees generated by this tool. The fees generated by GRU staff are the official costs that will be invoiced. Fees and costs are updated each fiscal year. Costs may change from the start of a project to the end of a project, especially for large projects that span multiple years. Information in the City of Gainesville Code of Ordinances, GRU's Design Standards &amp; Construction Details, Material Standards, Policies and Procedures Manuals take precedence over information in this tool. </t>
  </si>
  <si>
    <t>FEE DETAILS</t>
  </si>
  <si>
    <t xml:space="preserve">WATER </t>
  </si>
  <si>
    <t>CAPACITY CHARGE</t>
  </si>
  <si>
    <t>Consumption</t>
  </si>
  <si>
    <t>Transmission and Distribution Connection Charge</t>
  </si>
  <si>
    <t>Water Treatment Plant Connection Charge</t>
  </si>
  <si>
    <t>Total Water Connection Charge</t>
  </si>
  <si>
    <t>Single Family, Small Nonresidential                             
≤ 280 gallons per day (gpd)</t>
  </si>
  <si>
    <r>
      <t xml:space="preserve">Single Family, heated &amp; cooled area </t>
    </r>
    <r>
      <rPr>
        <u/>
        <sz val="11"/>
        <color theme="1"/>
        <rFont val="Calibri"/>
        <family val="2"/>
        <scheme val="minor"/>
      </rPr>
      <t>&lt;</t>
    </r>
    <r>
      <rPr>
        <sz val="11"/>
        <color theme="1"/>
        <rFont val="Calibri"/>
        <family val="2"/>
        <scheme val="minor"/>
      </rPr>
      <t xml:space="preserve"> 1,400 ft</t>
    </r>
    <r>
      <rPr>
        <vertAlign val="superscript"/>
        <sz val="11"/>
        <color theme="1"/>
        <rFont val="Calibri"/>
        <family val="2"/>
        <scheme val="minor"/>
      </rPr>
      <t>2</t>
    </r>
  </si>
  <si>
    <t xml:space="preserve">Nonresidential                                                             ˃ 280 gallons per day (gpd) </t>
  </si>
  <si>
    <t>EQUIPMENT CHARGE</t>
  </si>
  <si>
    <t>Meter size (in)</t>
  </si>
  <si>
    <t xml:space="preserve">Meter Charge  - Developer Install Box &amp; Yoke*            </t>
  </si>
  <si>
    <t>Meter Charge -                GRU Install Box &amp; Yoke</t>
  </si>
  <si>
    <t>GRU Installed Backflow Preventer</t>
  </si>
  <si>
    <t>1 - in</t>
  </si>
  <si>
    <t>1 1/2"</t>
  </si>
  <si>
    <t>2"</t>
  </si>
  <si>
    <t>3"</t>
  </si>
  <si>
    <t>4"</t>
  </si>
  <si>
    <r>
      <t xml:space="preserve">4" </t>
    </r>
    <r>
      <rPr>
        <sz val="11"/>
        <color theme="1"/>
        <rFont val="Calibri"/>
        <family val="2"/>
        <scheme val="minor"/>
      </rPr>
      <t>UL Rated Fire Line Mtr</t>
    </r>
  </si>
  <si>
    <t>6"</t>
  </si>
  <si>
    <r>
      <t xml:space="preserve">6" </t>
    </r>
    <r>
      <rPr>
        <sz val="11"/>
        <color theme="1"/>
        <rFont val="Calibri"/>
        <family val="2"/>
        <scheme val="minor"/>
      </rPr>
      <t>UL Rated Fire Line Mtr</t>
    </r>
  </si>
  <si>
    <t>8"</t>
  </si>
  <si>
    <t>*Existing meter box or developer installed meter box.</t>
  </si>
  <si>
    <t>HYDRANT METER SERVICE</t>
  </si>
  <si>
    <t>Description</t>
  </si>
  <si>
    <t>Fee</t>
  </si>
  <si>
    <t>Nonrefundable install &amp; removal</t>
  </si>
  <si>
    <t>Hydrant Meter Deposit</t>
  </si>
  <si>
    <t>Temporary Meter Deposit</t>
  </si>
  <si>
    <t xml:space="preserve">WASTEWATER </t>
  </si>
  <si>
    <t>Wastewater Collection System Connection Charge</t>
  </si>
  <si>
    <t>Wastewater Treatment Plant Connection Charge</t>
  </si>
  <si>
    <t>Total Wastewater Connection Charge</t>
  </si>
  <si>
    <t>Single Family, Small Nonresidential                             ≤ 280 gallons per day (gpd)</t>
  </si>
  <si>
    <t>DEVELOPER FEES</t>
  </si>
  <si>
    <t>PLAN REVIEW FEES</t>
  </si>
  <si>
    <t>INSPECTION FEES</t>
  </si>
  <si>
    <t>per linear foot</t>
  </si>
  <si>
    <t>TAPPING FEES</t>
  </si>
  <si>
    <t>Tap size (inches)</t>
  </si>
  <si>
    <t>Charge</t>
  </si>
  <si>
    <t>1"</t>
  </si>
  <si>
    <t>12"</t>
  </si>
  <si>
    <t>I-DISTRICT INFRASTRUCTURE IMPROVEMENT AREA (IIA) FEES</t>
  </si>
  <si>
    <t>Use Category</t>
  </si>
  <si>
    <t>WW</t>
  </si>
  <si>
    <t>Unit</t>
  </si>
  <si>
    <t>Commercial &amp; Institutional</t>
  </si>
  <si>
    <r>
      <t>/ft</t>
    </r>
    <r>
      <rPr>
        <vertAlign val="superscript"/>
        <sz val="11"/>
        <rFont val="Calibri"/>
        <family val="2"/>
        <scheme val="minor"/>
      </rPr>
      <t>2</t>
    </r>
    <r>
      <rPr>
        <sz val="11"/>
        <rFont val="Calibri"/>
        <family val="2"/>
        <scheme val="minor"/>
      </rPr>
      <t xml:space="preserve"> total building area</t>
    </r>
  </si>
  <si>
    <t>Hotel &amp;/or Motel</t>
  </si>
  <si>
    <t>per room</t>
  </si>
  <si>
    <t>Laboratory (wet)</t>
  </si>
  <si>
    <t>Multi-Family Residential</t>
  </si>
  <si>
    <t>per bedroom</t>
  </si>
  <si>
    <t>Office &amp; Laboratory (dry)</t>
  </si>
  <si>
    <t>Parking Garage</t>
  </si>
  <si>
    <t>NA</t>
  </si>
  <si>
    <t>NON-RESIDENTIAL FLOW ESTIMATE COEFFICIENTS</t>
  </si>
  <si>
    <t>Category</t>
  </si>
  <si>
    <t>Coefficient</t>
  </si>
  <si>
    <t>*  Total (Gross) Bldg SQFT  =   GPD</t>
  </si>
  <si>
    <t>COMMONLY USED CATEGORIES</t>
  </si>
  <si>
    <t>Department Store, Box Store</t>
  </si>
  <si>
    <t>Drive-thru restaurants</t>
  </si>
  <si>
    <t>Mixed-Use for suites with unknown businesses &lt;= 5,000 sqft</t>
  </si>
  <si>
    <t>Office building</t>
  </si>
  <si>
    <t>Restaurants (other than drive-in)</t>
  </si>
  <si>
    <t>Store, community shopping center (other than supermarkets and department stores)</t>
  </si>
  <si>
    <t>Supermarkets</t>
  </si>
  <si>
    <t>LESS COMMONLY USED CATEGORIES</t>
  </si>
  <si>
    <t>Banks, Financial Institutions</t>
  </si>
  <si>
    <t>Churches</t>
  </si>
  <si>
    <t>Event Centers (similar to Alachua Co. event center, Legacy, Easton, etc.)</t>
  </si>
  <si>
    <t>Fire Station</t>
  </si>
  <si>
    <t>Gas stations</t>
  </si>
  <si>
    <t>Gym, Workout Facility</t>
  </si>
  <si>
    <t>Hotels</t>
  </si>
  <si>
    <t>Libraries and museums</t>
  </si>
  <si>
    <t>Medical (except hospitals)</t>
  </si>
  <si>
    <t>Nightclubs, cocktail lounges, bars</t>
  </si>
  <si>
    <t>Pharmacy</t>
  </si>
  <si>
    <t>Repair shops and auto sales, repair, rental, tire, storage, body shops</t>
  </si>
  <si>
    <t>Retirement homes, orphanages, group homes</t>
  </si>
  <si>
    <t>Schools, colleges and daycare facilities</t>
  </si>
  <si>
    <t>Storage Units</t>
  </si>
  <si>
    <t>Theaters, Bowling alleys, skating rinks, pool halls, enclosed arenas, auditoriums</t>
  </si>
  <si>
    <t xml:space="preserve">Union halls, lodges, clubs, club houses </t>
  </si>
  <si>
    <t>RARELY USED CATEGORIES</t>
  </si>
  <si>
    <t>Dry cleaning,  laundry mats</t>
  </si>
  <si>
    <t>Florists, greenhouses</t>
  </si>
  <si>
    <t>Golf courses, driving ranges</t>
  </si>
  <si>
    <t>Industrial, manufacturing, wholesale outlets, produce houses</t>
  </si>
  <si>
    <t>Mortuaries, cemeteries, crematoriums</t>
  </si>
  <si>
    <t>Open storage, building supplies, junk yards, auto wrecking, fuel storage</t>
  </si>
  <si>
    <t>Utility - other than GRU</t>
  </si>
  <si>
    <t>Warehouse, distribution centers, truck terminals</t>
  </si>
  <si>
    <t>GRU Water/Wastewater Connection &amp; Developer Fee Estimator Tool - Instructions</t>
  </si>
  <si>
    <r>
      <t xml:space="preserve">Disclaimer: </t>
    </r>
    <r>
      <rPr>
        <i/>
        <sz val="9"/>
        <color theme="1"/>
        <rFont val="Calibri"/>
        <family val="2"/>
        <scheme val="minor"/>
      </rPr>
      <t xml:space="preserve">Disclaimer: This spreadsheet is a tool to assist engineers and developers in estimating developer fees for a new development project as it pertains to GRU Water and Wastewater. Official Developer Fees calculated by GRU staff after 70 percent of the water and wastewater infrastructure is constructed may vary from fees generated by this tool. The fees generated by GRU staff are the official costs that will be invoiced. Fees and costs are updated each fiscal year. Costs may change from the start of a project to the end of a project, especially for large projects that span multiple years. Information in the City of Gainesville Code of Ordinances, GRU's Design Standards &amp; Construction Details, Material Standards, Policies and Procedures Manuals take precedence over information in this tool. </t>
    </r>
  </si>
  <si>
    <t>This is a step by step guide to filling out the connection fee calculator. It is recommended to start from the top of the tool and work down the page answering the questions. ***  Be sure to answer all the questions in each section to ensure the tool generates all the fees in the summary table. ***</t>
  </si>
  <si>
    <t xml:space="preserve">Where is the property? </t>
  </si>
  <si>
    <t xml:space="preserve">Using the drop down for each box, select "X" if the project is located within the City of Gainesville limits or Unincorporated Alachua County. Projects outside the City of Gainesville limits are subject to a surcharge tax except for projects otherwise exempt. </t>
  </si>
  <si>
    <t xml:space="preserve">What type of connection? </t>
  </si>
  <si>
    <t xml:space="preserve">Using the drop down box, select "X" if the connection type is Single Family, Multi-Family or Nonresidential. Note, if your project has more than one type of connection, you will need to do a fee estimate for each type of connection and add them together manually. </t>
  </si>
  <si>
    <r>
      <t xml:space="preserve">•  </t>
    </r>
    <r>
      <rPr>
        <u/>
        <sz val="11"/>
        <color theme="1"/>
        <rFont val="Calibri"/>
        <family val="2"/>
        <scheme val="minor"/>
      </rPr>
      <t>Single Family</t>
    </r>
    <r>
      <rPr>
        <sz val="11"/>
        <color theme="1"/>
        <rFont val="Calibri"/>
        <family val="2"/>
        <scheme val="minor"/>
      </rPr>
      <t xml:space="preserve"> for home(s) less than </t>
    </r>
    <r>
      <rPr>
        <u/>
        <sz val="11"/>
        <color theme="1"/>
        <rFont val="Calibri"/>
        <family val="2"/>
        <scheme val="minor"/>
      </rPr>
      <t>&lt;</t>
    </r>
    <r>
      <rPr>
        <sz val="11"/>
        <color theme="1"/>
        <rFont val="Calibri"/>
        <family val="2"/>
        <scheme val="minor"/>
      </rPr>
      <t xml:space="preserve"> 1,400 sqft select that option; otherwise, select "X".  The spreadsheet will ask if there is an existing well. For properties with an existing well, a backflow preventer is required at time of the meter install.  The tool automatically adds the cost for GRU to install a backflow preventer. Enter number of homes when prompted (i.e. number of connections).</t>
    </r>
  </si>
  <si>
    <r>
      <rPr>
        <b/>
        <sz val="10"/>
        <color theme="1"/>
        <rFont val="Calibri"/>
        <family val="2"/>
        <scheme val="minor"/>
      </rPr>
      <t>Note:</t>
    </r>
    <r>
      <rPr>
        <sz val="10"/>
        <color theme="1"/>
        <rFont val="Calibri"/>
        <family val="2"/>
        <scheme val="minor"/>
      </rPr>
      <t xml:space="preserve"> Single Family homes that have a heated &amp; cooled area </t>
    </r>
    <r>
      <rPr>
        <u/>
        <sz val="10"/>
        <color theme="1"/>
        <rFont val="Calibri"/>
        <family val="2"/>
        <scheme val="minor"/>
      </rPr>
      <t xml:space="preserve">&lt; </t>
    </r>
    <r>
      <rPr>
        <sz val="10"/>
        <color theme="1"/>
        <rFont val="Calibri"/>
        <family val="2"/>
        <scheme val="minor"/>
      </rPr>
      <t>1,400 sqft use less water than homes with more area; therefore, homes with a heated &amp; cooled area &lt; 1,400 sqft have a connection charge that reflects the lower water use.</t>
    </r>
  </si>
  <si>
    <r>
      <t xml:space="preserve">• </t>
    </r>
    <r>
      <rPr>
        <u/>
        <sz val="11"/>
        <color theme="1"/>
        <rFont val="Calibri"/>
        <family val="2"/>
        <scheme val="minor"/>
      </rPr>
      <t>Multifamily</t>
    </r>
    <r>
      <rPr>
        <sz val="11"/>
        <color theme="1"/>
        <rFont val="Calibri"/>
        <family val="2"/>
        <scheme val="minor"/>
      </rPr>
      <t xml:space="preserve"> input the number of bedrooms. Multifamily connection fees are based on the number of bedrooms. Note this is a bedroom count, NOT the number of multifamily units. </t>
    </r>
  </si>
  <si>
    <r>
      <t xml:space="preserve">• </t>
    </r>
    <r>
      <rPr>
        <u/>
        <sz val="11"/>
        <color theme="1"/>
        <rFont val="Calibri"/>
        <family val="2"/>
        <scheme val="minor"/>
      </rPr>
      <t>Nonresidential</t>
    </r>
    <r>
      <rPr>
        <sz val="11"/>
        <color theme="1"/>
        <rFont val="Calibri"/>
        <family val="2"/>
        <scheme val="minor"/>
      </rPr>
      <t xml:space="preserve"> the tool will prompt you for the Facility Type and the Total Building Square Footage of that Facility Type. The list of facility types is broken down into commonly use, less commonly used and rarely used categories (tip, scroll up in the dropdown for the commonly used options).  For shell buildings  </t>
    </r>
    <r>
      <rPr>
        <u/>
        <sz val="11"/>
        <color theme="1"/>
        <rFont val="Calibri"/>
        <family val="2"/>
        <scheme val="minor"/>
      </rPr>
      <t>&lt;</t>
    </r>
    <r>
      <rPr>
        <sz val="11"/>
        <color theme="1"/>
        <rFont val="Calibri"/>
        <family val="2"/>
        <scheme val="minor"/>
      </rPr>
      <t>5,000 sqft with unknown businesses, use the Mixed-Use category.  If there is more than one Facility Type, you will need to do a fee estimate for each Facility Type and add them together manually.</t>
    </r>
  </si>
  <si>
    <t>NOTES:</t>
  </si>
  <si>
    <t xml:space="preserve"> -  Nonresidential Facility Type(s) will be determined by GRU staff when calculating the Official Developer Fees. If a different Facility Type is used in the estimator tool than what GRU staff determines representative of the Facility Type, the cost difference could be substantial.  The Facility Type(s) determined by GRU staff will be the one(s) used to calculate the Official Developer Fees. </t>
  </si>
  <si>
    <t xml:space="preserve"> - If a project has multiple Facility Types, it is important to accurately determine the Total Building Square Footage of each Facility Type. The Total Building Square Footage of the project must be accounted for if it is a nonresidential project. </t>
  </si>
  <si>
    <t xml:space="preserve"> - If the nonresidential Facility Type does not fit the descriptions of the ones listed in the tool, contact New Services for GRU to provide a water use estimate for the unique Facility Type.  393--1413</t>
  </si>
  <si>
    <t xml:space="preserve">What type of service? </t>
  </si>
  <si>
    <t xml:space="preserve">Select with an "X" the services that are being provided: Water, Wastewater and/or Irrigation. </t>
  </si>
  <si>
    <t xml:space="preserve">Based on these selections, prompts will appear next to the other boxes to the right of these selections. Fill out all the information asked for or the tool will not properly estimate the fees. </t>
  </si>
  <si>
    <r>
      <t>•</t>
    </r>
    <r>
      <rPr>
        <u/>
        <sz val="11"/>
        <color theme="1"/>
        <rFont val="Calibri"/>
        <family val="2"/>
        <scheme val="minor"/>
      </rPr>
      <t xml:space="preserve"> Water and Irrigation</t>
    </r>
    <r>
      <rPr>
        <sz val="11"/>
        <color theme="1"/>
        <rFont val="Calibri"/>
        <family val="2"/>
        <scheme val="minor"/>
      </rPr>
      <t xml:space="preserve"> the additional information required is the Meter Size, Number of Meters, and Meter Install Type. The typical Meter Install Type is for GRU to install the meter, box and yoke. The minimum recommended irrigation meter size is a 1 inch meter. </t>
    </r>
  </si>
  <si>
    <r>
      <t xml:space="preserve">• </t>
    </r>
    <r>
      <rPr>
        <u/>
        <sz val="11"/>
        <color theme="1"/>
        <rFont val="Calibri"/>
        <family val="2"/>
        <scheme val="minor"/>
      </rPr>
      <t>Wastewater</t>
    </r>
    <r>
      <rPr>
        <sz val="11"/>
        <color theme="1"/>
        <rFont val="Calibri"/>
        <family val="2"/>
        <scheme val="minor"/>
      </rPr>
      <t xml:space="preserve"> no additional information is required.</t>
    </r>
  </si>
  <si>
    <t>Plan Review Fee</t>
  </si>
  <si>
    <t>Use the drop down to select water, wastewater or both water and wastewater for Plan Review Fees. The majority of projects will have both water and wastewater Plan Review Fees.  Only when a project is getting either water or wastewater service will the individual water or wastewater Plan Review Fee be applied.</t>
  </si>
  <si>
    <t>Inspection Fee</t>
  </si>
  <si>
    <t xml:space="preserve">Provide the linear footage of new water and/or new sewer being installed that is to be inspected. </t>
  </si>
  <si>
    <r>
      <t xml:space="preserve">•  </t>
    </r>
    <r>
      <rPr>
        <u/>
        <sz val="11"/>
        <color theme="1"/>
        <rFont val="Calibri"/>
        <family val="2"/>
        <scheme val="minor"/>
      </rPr>
      <t>Water</t>
    </r>
    <r>
      <rPr>
        <sz val="11"/>
        <color theme="1"/>
        <rFont val="Calibri"/>
        <family val="2"/>
        <scheme val="minor"/>
      </rPr>
      <t xml:space="preserve"> water infrastructure is measured up to the meter or fireline gate valve that are at the GRU End of Maintenance. </t>
    </r>
  </si>
  <si>
    <r>
      <t xml:space="preserve">•  </t>
    </r>
    <r>
      <rPr>
        <u/>
        <sz val="11"/>
        <color theme="1"/>
        <rFont val="Calibri"/>
        <family val="2"/>
        <scheme val="minor"/>
      </rPr>
      <t>Wastewater</t>
    </r>
    <r>
      <rPr>
        <sz val="11"/>
        <color theme="1"/>
        <rFont val="Calibri"/>
        <family val="2"/>
        <scheme val="minor"/>
      </rPr>
      <t xml:space="preserve"> all wastewater infrastructure is all measured including private facilities, systems and laterals. GRU inspectors inspect the private portions of sewer, as they feed into GRU's collection system and must meet minimum standards. </t>
    </r>
  </si>
  <si>
    <r>
      <rPr>
        <b/>
        <sz val="10"/>
        <color theme="1"/>
        <rFont val="Calibri"/>
        <family val="2"/>
        <scheme val="minor"/>
      </rPr>
      <t xml:space="preserve">NOTE: </t>
    </r>
    <r>
      <rPr>
        <sz val="10"/>
        <color theme="1"/>
        <rFont val="Calibri"/>
        <family val="2"/>
        <scheme val="minor"/>
      </rPr>
      <t xml:space="preserve">GRU staff will measure the linear footage of inspected water and wastewater infrastructure when calculating the Official Developer Fees using measurement tools and sheet scale on the Signed and Sealed Approved Utility Construction Permit (UCP) plans. Measurements done by GRU staff will be used to calculate the Official Developer Fees. </t>
    </r>
  </si>
  <si>
    <t>Use the dropdown menus to select one or more tap sizes associated with the project, and the corresponding number of taps for each size.</t>
  </si>
  <si>
    <r>
      <t xml:space="preserve">NOTE:  </t>
    </r>
    <r>
      <rPr>
        <sz val="10"/>
        <color theme="1"/>
        <rFont val="Calibri"/>
        <family val="2"/>
        <scheme val="minor"/>
      </rPr>
      <t>Tap &amp; Valve by GRU.  Contractor is responsible for MOT, excavation, connection to tap &amp; valve, and restoration</t>
    </r>
  </si>
  <si>
    <t>Project In IIA Water Boundary</t>
  </si>
  <si>
    <t xml:space="preserve">This section only applies to projects that fall within the IIA boundaries.
Select with an "X" if your project falls with the water and/or wastewater IIA boundaries. 
Select the establishment type(s) that apply to the project and enter the appropriate additional information. </t>
  </si>
  <si>
    <t>At this point you can review the fees in the Estimated Connection &amp; Developer Fees Summary Table.</t>
  </si>
  <si>
    <t>Please call 393-1604 for questions or comments regarding the Estimator Tool.</t>
  </si>
  <si>
    <t>What are water &amp; wastewater connection charges?</t>
  </si>
  <si>
    <r>
      <t>Water and wastewater connection charges apply to new connections to GRU’s water and wastewater systems. This charge helps pay for capital costs the utility incurs when expanding the capacity of its systems to handle new customers. If we did not charge connection charges, we would have to raise rates for our existing customers in order to provide capacity for new customers. It is standard practice in Florida and elsewhere for water and wastewater utilities to charge a connection charge, sometimes referred to as a “capacity fee” or other similar name.</t>
    </r>
    <r>
      <rPr>
        <b/>
        <sz val="11"/>
        <color theme="1"/>
        <rFont val="Calibri"/>
        <family val="2"/>
        <scheme val="minor"/>
      </rPr>
      <t/>
    </r>
  </si>
  <si>
    <t>How are connection charges calculated?</t>
  </si>
  <si>
    <t xml:space="preserve">Single-family homes pay a flat rate for water and wastewater connection charges. Multi-family residential and commercial customers pay “flow-based” connection charges calculated based on the estimated amount of flow capacity the customer needs. Flow estimates for multi-family residences are based on number of bedrooms. Flow estimates for commercial customers are based on the type of business and the square footage of the building. Commercial customers with an estimated flow of less than or equal to 280 gallons per day pay the same flat or “minimum” connection charges as single-family residential customers. </t>
  </si>
  <si>
    <t>Who and what does the surcharge tax apply to?</t>
  </si>
  <si>
    <r>
      <t>A surcharge equal to 25 percent shall be applied to the following:
   (1) Connection charges, as defined herein, associated with new service connecting to the city's water system outside the corporate limits of the city 
   (2) The rates charged to customers of water furnished by the city to customers outside the corporate limits of the city</t>
    </r>
    <r>
      <rPr>
        <sz val="9"/>
        <color theme="1"/>
        <rFont val="Calibri"/>
        <family val="2"/>
        <scheme val="minor"/>
      </rPr>
      <t xml:space="preserve">
</t>
    </r>
    <r>
      <rPr>
        <i/>
        <sz val="9"/>
        <color theme="1"/>
        <rFont val="Calibri"/>
        <family val="2"/>
        <scheme val="minor"/>
      </rPr>
      <t>Exemptions:  The United States of America, the State of Florida and all political subdivisions, agencies, boards, commissions and instrumentalities thereof and all recognized places of religious assembly of the State of Florida are exempt from the surcharge.</t>
    </r>
  </si>
  <si>
    <t>What is an Infrastructure Improvement Area (IIA)?</t>
  </si>
  <si>
    <t>An infrastructure improvement area (IIA) is a designated area that user fees are applied to fund water and wastewater gravity collection improvements, which benefit a new structure, in whole or in part, and/or the construction of additional square footage to an existing structure, within the geographic boundaries of the designated infrastructure improvement areas.</t>
  </si>
  <si>
    <t>IIA User Fees</t>
  </si>
  <si>
    <t xml:space="preserve">Each new or existing customer who constructs a new commercial establishment: 
 - institutional establishment, 
 - hotel establishment, 
 - laboratory (wet) establishment, 
 - laboratory (dry) establishment, 
 - professional office establishment, 
 - motel establishment, 
- multi-family residential establishment, 
- a parking garage establishment 
- and/or constructs additional square footage to any such existing establishment 
within an IIA shall pay IIA user fees. 
User fees are assessed based on the gross building square footage or number of hotel rooms, motel rooms or bedrooms of the new structure and/or the addition to an existing structure. </t>
  </si>
  <si>
    <t>Y</t>
  </si>
  <si>
    <t>3/4 - in</t>
  </si>
  <si>
    <t>GRU Install Meter Only</t>
  </si>
  <si>
    <t>Water, Wastewater</t>
  </si>
  <si>
    <t>N</t>
  </si>
  <si>
    <t>Multi Family</t>
  </si>
  <si>
    <r>
      <t xml:space="preserve">Single Family, heated &amp; cooled area </t>
    </r>
    <r>
      <rPr>
        <u/>
        <sz val="11"/>
        <color theme="1"/>
        <rFont val="Calibri"/>
        <family val="2"/>
        <scheme val="minor"/>
      </rPr>
      <t xml:space="preserve">&lt; </t>
    </r>
    <r>
      <rPr>
        <sz val="11"/>
        <color theme="1"/>
        <rFont val="Calibri"/>
        <family val="2"/>
        <scheme val="minor"/>
      </rPr>
      <t>1,400 ft</t>
    </r>
    <r>
      <rPr>
        <vertAlign val="superscript"/>
        <sz val="11"/>
        <color theme="1"/>
        <rFont val="Calibri"/>
        <family val="2"/>
        <scheme val="minor"/>
      </rPr>
      <t>2</t>
    </r>
  </si>
  <si>
    <t>Non-residential</t>
  </si>
  <si>
    <t>Water, Irrigation, Wastewater</t>
  </si>
  <si>
    <t xml:space="preserve">Irrigation </t>
  </si>
  <si>
    <t>Irrigation, Wastewater</t>
  </si>
  <si>
    <t>Hydrant meter</t>
  </si>
  <si>
    <t>Temporary meter</t>
  </si>
  <si>
    <r>
      <t xml:space="preserve">Single Family, heated &amp; cooled area </t>
    </r>
    <r>
      <rPr>
        <u/>
        <sz val="11"/>
        <color theme="1"/>
        <rFont val="Calibri"/>
        <family val="2"/>
        <scheme val="minor"/>
      </rPr>
      <t xml:space="preserve">&lt; </t>
    </r>
    <r>
      <rPr>
        <sz val="11"/>
        <color theme="1"/>
        <rFont val="Calibri"/>
        <family val="2"/>
        <scheme val="minor"/>
      </rPr>
      <t>850 ft</t>
    </r>
    <r>
      <rPr>
        <vertAlign val="superscript"/>
        <sz val="11"/>
        <color theme="1"/>
        <rFont val="Calibri"/>
        <family val="2"/>
        <scheme val="minor"/>
      </rPr>
      <t>2</t>
    </r>
  </si>
  <si>
    <r>
      <t xml:space="preserve">Single Family, heated &amp; cooled area </t>
    </r>
    <r>
      <rPr>
        <u/>
        <sz val="11"/>
        <color theme="1"/>
        <rFont val="Calibri"/>
        <family val="2"/>
        <scheme val="minor"/>
      </rPr>
      <t>&lt;</t>
    </r>
    <r>
      <rPr>
        <sz val="11"/>
        <color theme="1"/>
        <rFont val="Calibri"/>
        <family val="2"/>
        <scheme val="minor"/>
      </rPr>
      <t xml:space="preserve"> 850 ft</t>
    </r>
    <r>
      <rPr>
        <vertAlign val="superscript"/>
        <sz val="11"/>
        <color theme="1"/>
        <rFont val="Calibri"/>
        <family val="2"/>
        <scheme val="minor"/>
      </rPr>
      <t>2</t>
    </r>
  </si>
  <si>
    <t>8" UL Rated Fire Line Mtr</t>
  </si>
  <si>
    <t xml:space="preserve">$3.29 / gpd </t>
  </si>
  <si>
    <t xml:space="preserve">1.98 / gpd </t>
  </si>
  <si>
    <t xml:space="preserve">2.98 / gpd </t>
  </si>
  <si>
    <t xml:space="preserve">4.96 / gpd </t>
  </si>
  <si>
    <t xml:space="preserve">$11.29 / gpd </t>
  </si>
  <si>
    <t xml:space="preserve">$14.57 / gpd </t>
  </si>
  <si>
    <t>WATER/WASTEWATER FEES FY 2024 (Effective October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</si>
</sst>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quot;$&quot;#,##0.00"/>
    <numFmt numFmtId="166" formatCode="&quot;$&quot;#,##0"/>
    <numFmt numFmtId="167" formatCode="0.0000"/>
    <numFmt numFmtId="168" formatCode="General_)"/>
    <numFmt numFmtId="169" formatCode="_(&quot;$&quot;* #,##0_);_(&quot;$&quot;* \(#,##0\);_(&quot;$&quot;* &quot;-&quot;??_);_(@_)"/>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1"/>
      <color rgb="FFFF0000"/>
      <name val="Calibri"/>
      <family val="2"/>
      <scheme val="minor"/>
    </font>
    <font>
      <b/>
      <i/>
      <sz val="11"/>
      <color theme="1"/>
      <name val="Calibri"/>
      <family val="2"/>
      <scheme val="minor"/>
    </font>
    <font>
      <i/>
      <sz val="11"/>
      <name val="Calibri"/>
      <family val="2"/>
      <scheme val="minor"/>
    </font>
    <font>
      <vertAlign val="superscript"/>
      <sz val="11"/>
      <color theme="1"/>
      <name val="Calibri"/>
      <family val="2"/>
      <scheme val="minor"/>
    </font>
    <font>
      <u/>
      <sz val="11"/>
      <color theme="1"/>
      <name val="Calibri"/>
      <family val="2"/>
      <scheme val="minor"/>
    </font>
    <font>
      <sz val="10"/>
      <name val="Arial"/>
      <family val="2"/>
    </font>
    <font>
      <sz val="11"/>
      <name val="Calibri"/>
      <family val="2"/>
    </font>
    <font>
      <sz val="12"/>
      <name val="Helv"/>
    </font>
    <font>
      <sz val="11"/>
      <name val="Calibri"/>
      <family val="2"/>
      <scheme val="minor"/>
    </font>
    <font>
      <i/>
      <sz val="11"/>
      <color rgb="FFFF0000"/>
      <name val="Calibri"/>
      <family val="2"/>
      <scheme val="minor"/>
    </font>
    <font>
      <vertAlign val="superscript"/>
      <sz val="11"/>
      <name val="Calibri"/>
      <family val="2"/>
      <scheme val="minor"/>
    </font>
    <font>
      <b/>
      <sz val="14"/>
      <color theme="1"/>
      <name val="Calibri"/>
      <family val="2"/>
      <scheme val="minor"/>
    </font>
    <font>
      <sz val="12"/>
      <color rgb="FF4C4C4C"/>
      <name val="Tahoma"/>
      <family val="2"/>
    </font>
    <font>
      <b/>
      <u/>
      <sz val="11"/>
      <color theme="1"/>
      <name val="Calibri"/>
      <family val="2"/>
      <scheme val="minor"/>
    </font>
    <font>
      <i/>
      <sz val="9"/>
      <color theme="1"/>
      <name val="Calibri"/>
      <family val="2"/>
      <scheme val="minor"/>
    </font>
    <font>
      <sz val="9"/>
      <color theme="1"/>
      <name val="Calibri"/>
      <family val="2"/>
      <scheme val="minor"/>
    </font>
    <font>
      <b/>
      <u/>
      <sz val="16"/>
      <color theme="1"/>
      <name val="Calibri"/>
      <family val="2"/>
      <scheme val="minor"/>
    </font>
    <font>
      <b/>
      <i/>
      <sz val="9"/>
      <color theme="1"/>
      <name val="Calibri"/>
      <family val="2"/>
      <scheme val="minor"/>
    </font>
    <font>
      <b/>
      <sz val="12"/>
      <color theme="1"/>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b/>
      <sz val="24"/>
      <color theme="1"/>
      <name val="Calibri"/>
      <family val="2"/>
      <scheme val="minor"/>
    </font>
    <font>
      <b/>
      <sz val="11"/>
      <color rgb="FF000000"/>
      <name val="Calibri"/>
      <family val="2"/>
    </font>
    <font>
      <sz val="8"/>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indexed="9"/>
        <bgColor indexed="9"/>
      </patternFill>
    </fill>
    <fill>
      <patternFill patternType="solid">
        <fgColor theme="7" tint="0.79998168889431442"/>
        <bgColor indexed="64"/>
      </patternFill>
    </fill>
    <fill>
      <patternFill patternType="solid">
        <fgColor theme="0" tint="-0.14999847407452621"/>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s>
  <cellStyleXfs count="5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0" fontId="1" fillId="0" borderId="0"/>
    <xf numFmtId="0" fontId="24" fillId="0" borderId="0"/>
    <xf numFmtId="44" fontId="24" fillId="0" borderId="0" applyFont="0" applyFill="0" applyBorder="0" applyAlignment="0" applyProtection="0"/>
    <xf numFmtId="9" fontId="24" fillId="0" borderId="0" applyFont="0" applyFill="0" applyBorder="0" applyAlignment="0" applyProtection="0"/>
    <xf numFmtId="0" fontId="24" fillId="0" borderId="0"/>
    <xf numFmtId="0" fontId="25" fillId="0" borderId="0"/>
    <xf numFmtId="168" fontId="26" fillId="0" borderId="0"/>
    <xf numFmtId="9"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3" fontId="24" fillId="38" borderId="0"/>
    <xf numFmtId="5" fontId="24" fillId="38" borderId="0"/>
    <xf numFmtId="0" fontId="24" fillId="38" borderId="0"/>
    <xf numFmtId="2" fontId="24" fillId="38" borderId="0"/>
  </cellStyleXfs>
  <cellXfs count="181">
    <xf numFmtId="0" fontId="0" fillId="0" borderId="0" xfId="0"/>
    <xf numFmtId="0" fontId="1" fillId="0" borderId="0" xfId="43" applyAlignment="1">
      <alignment horizontal="center"/>
    </xf>
    <xf numFmtId="0" fontId="0" fillId="0" borderId="0" xfId="43" applyFont="1" applyAlignment="1">
      <alignment horizontal="center"/>
    </xf>
    <xf numFmtId="0" fontId="0" fillId="0" borderId="0" xfId="43" quotePrefix="1" applyFont="1" applyAlignment="1">
      <alignment horizontal="center"/>
    </xf>
    <xf numFmtId="0" fontId="0" fillId="33" borderId="0" xfId="0" applyFill="1"/>
    <xf numFmtId="0" fontId="0" fillId="33" borderId="0" xfId="0" applyFill="1" applyAlignment="1">
      <alignment horizontal="center"/>
    </xf>
    <xf numFmtId="0" fontId="0" fillId="33" borderId="26" xfId="0" applyFill="1" applyBorder="1"/>
    <xf numFmtId="0" fontId="0" fillId="33" borderId="27" xfId="0" applyFill="1" applyBorder="1"/>
    <xf numFmtId="0" fontId="13" fillId="34" borderId="16" xfId="0" applyFont="1" applyFill="1" applyBorder="1" applyAlignment="1">
      <alignment vertical="center"/>
    </xf>
    <xf numFmtId="0" fontId="13" fillId="34" borderId="16" xfId="0" applyFont="1" applyFill="1" applyBorder="1" applyAlignment="1">
      <alignment horizontal="center" vertical="center"/>
    </xf>
    <xf numFmtId="0" fontId="18" fillId="37" borderId="0" xfId="0" applyFont="1" applyFill="1"/>
    <xf numFmtId="44" fontId="18" fillId="37" borderId="0" xfId="42" applyFont="1" applyFill="1" applyBorder="1" applyProtection="1"/>
    <xf numFmtId="0" fontId="18" fillId="37" borderId="0" xfId="0" applyFont="1" applyFill="1" applyAlignment="1">
      <alignment horizontal="center"/>
    </xf>
    <xf numFmtId="0" fontId="16" fillId="33" borderId="0" xfId="0" applyFont="1" applyFill="1"/>
    <xf numFmtId="0" fontId="19" fillId="33" borderId="0" xfId="0" applyFont="1" applyFill="1" applyAlignment="1">
      <alignment horizontal="center"/>
    </xf>
    <xf numFmtId="0" fontId="16" fillId="33" borderId="10" xfId="0" applyFont="1" applyFill="1" applyBorder="1" applyAlignment="1">
      <alignment horizontal="center" vertical="center" wrapText="1"/>
    </xf>
    <xf numFmtId="0" fontId="0" fillId="33" borderId="10" xfId="0" quotePrefix="1" applyFill="1" applyBorder="1" applyAlignment="1">
      <alignment horizontal="center" vertical="center" wrapText="1"/>
    </xf>
    <xf numFmtId="8" fontId="0" fillId="33" borderId="10" xfId="0" applyNumberFormat="1" applyFill="1" applyBorder="1" applyAlignment="1">
      <alignment horizontal="center" vertical="center" wrapText="1"/>
    </xf>
    <xf numFmtId="8" fontId="0" fillId="33" borderId="0" xfId="0" applyNumberFormat="1" applyFill="1"/>
    <xf numFmtId="0" fontId="0" fillId="33" borderId="10" xfId="0" applyFill="1" applyBorder="1" applyAlignment="1">
      <alignment horizontal="center" vertical="center" wrapText="1"/>
    </xf>
    <xf numFmtId="0" fontId="18" fillId="33" borderId="0" xfId="0" applyFont="1" applyFill="1"/>
    <xf numFmtId="164" fontId="0" fillId="33" borderId="0" xfId="0" applyNumberFormat="1" applyFill="1" applyAlignment="1">
      <alignment horizontal="center"/>
    </xf>
    <xf numFmtId="0" fontId="16" fillId="33" borderId="10" xfId="0" applyFont="1" applyFill="1" applyBorder="1" applyAlignment="1">
      <alignment horizontal="center"/>
    </xf>
    <xf numFmtId="0" fontId="16" fillId="33" borderId="10" xfId="0" applyFont="1" applyFill="1" applyBorder="1" applyAlignment="1">
      <alignment horizontal="center" wrapText="1"/>
    </xf>
    <xf numFmtId="12" fontId="16" fillId="33" borderId="10" xfId="0" applyNumberFormat="1" applyFont="1" applyFill="1" applyBorder="1" applyAlignment="1">
      <alignment horizontal="center" wrapText="1"/>
    </xf>
    <xf numFmtId="12" fontId="0" fillId="33" borderId="10" xfId="0" applyNumberFormat="1" applyFill="1" applyBorder="1" applyAlignment="1">
      <alignment horizontal="center"/>
    </xf>
    <xf numFmtId="166" fontId="0" fillId="33" borderId="10" xfId="42" applyNumberFormat="1" applyFont="1" applyFill="1" applyBorder="1" applyAlignment="1" applyProtection="1">
      <alignment horizontal="center" wrapText="1"/>
    </xf>
    <xf numFmtId="166" fontId="0" fillId="33" borderId="18" xfId="42" applyNumberFormat="1" applyFont="1" applyFill="1" applyBorder="1" applyAlignment="1" applyProtection="1">
      <alignment horizontal="center" vertical="center"/>
    </xf>
    <xf numFmtId="0" fontId="0" fillId="0" borderId="10" xfId="43" applyFont="1" applyBorder="1" applyAlignment="1">
      <alignment horizontal="center"/>
    </xf>
    <xf numFmtId="166" fontId="0" fillId="33" borderId="10" xfId="42" applyNumberFormat="1" applyFont="1" applyFill="1" applyBorder="1" applyAlignment="1" applyProtection="1">
      <alignment horizontal="center"/>
    </xf>
    <xf numFmtId="166" fontId="0" fillId="33" borderId="12" xfId="42" applyNumberFormat="1" applyFont="1" applyFill="1" applyBorder="1" applyAlignment="1" applyProtection="1">
      <alignment horizontal="center" vertical="center"/>
    </xf>
    <xf numFmtId="165" fontId="0" fillId="33" borderId="11" xfId="0" applyNumberFormat="1" applyFill="1" applyBorder="1" applyAlignment="1">
      <alignment horizontal="center"/>
    </xf>
    <xf numFmtId="165" fontId="0" fillId="33" borderId="10" xfId="42" applyNumberFormat="1" applyFont="1" applyFill="1" applyBorder="1" applyAlignment="1" applyProtection="1">
      <alignment horizontal="center"/>
    </xf>
    <xf numFmtId="12" fontId="18" fillId="33" borderId="0" xfId="0" applyNumberFormat="1" applyFont="1" applyFill="1" applyAlignment="1">
      <alignment horizontal="left"/>
    </xf>
    <xf numFmtId="165" fontId="0" fillId="33" borderId="0" xfId="42" applyNumberFormat="1" applyFont="1" applyFill="1" applyBorder="1" applyAlignment="1" applyProtection="1">
      <alignment horizontal="center"/>
    </xf>
    <xf numFmtId="166" fontId="0" fillId="33" borderId="0" xfId="42" applyNumberFormat="1" applyFont="1" applyFill="1" applyBorder="1" applyAlignment="1" applyProtection="1">
      <alignment horizontal="center"/>
    </xf>
    <xf numFmtId="165" fontId="0" fillId="33" borderId="0" xfId="0" applyNumberFormat="1" applyFill="1" applyAlignment="1">
      <alignment horizontal="center"/>
    </xf>
    <xf numFmtId="0" fontId="16" fillId="33" borderId="13" xfId="0" applyFont="1" applyFill="1" applyBorder="1" applyAlignment="1">
      <alignment horizontal="left"/>
    </xf>
    <xf numFmtId="0" fontId="0" fillId="33" borderId="14" xfId="0" applyFill="1" applyBorder="1"/>
    <xf numFmtId="12" fontId="0" fillId="33" borderId="13" xfId="0" applyNumberFormat="1" applyFill="1" applyBorder="1" applyAlignment="1">
      <alignment horizontal="left"/>
    </xf>
    <xf numFmtId="0" fontId="0" fillId="33" borderId="13" xfId="0" applyFill="1" applyBorder="1" applyAlignment="1">
      <alignment horizontal="left"/>
    </xf>
    <xf numFmtId="0" fontId="0" fillId="0" borderId="13" xfId="43" applyFont="1" applyBorder="1" applyAlignment="1">
      <alignment horizontal="left"/>
    </xf>
    <xf numFmtId="0" fontId="20" fillId="36" borderId="0" xfId="0" applyFont="1" applyFill="1"/>
    <xf numFmtId="0" fontId="18" fillId="36" borderId="0" xfId="0" applyFont="1" applyFill="1"/>
    <xf numFmtId="44" fontId="21" fillId="36" borderId="0" xfId="42" applyFont="1" applyFill="1" applyBorder="1" applyProtection="1"/>
    <xf numFmtId="0" fontId="18" fillId="36" borderId="0" xfId="0" applyFont="1" applyFill="1" applyAlignment="1">
      <alignment horizontal="center"/>
    </xf>
    <xf numFmtId="44" fontId="0" fillId="33" borderId="0" xfId="42" applyFont="1" applyFill="1" applyBorder="1" applyProtection="1"/>
    <xf numFmtId="6" fontId="0" fillId="33" borderId="10" xfId="0" applyNumberFormat="1" applyFill="1" applyBorder="1" applyAlignment="1">
      <alignment horizontal="center" vertical="center" wrapText="1"/>
    </xf>
    <xf numFmtId="0" fontId="0" fillId="33" borderId="0" xfId="0" applyFill="1" applyAlignment="1">
      <alignment horizontal="center" vertical="center" wrapText="1"/>
    </xf>
    <xf numFmtId="0" fontId="20" fillId="35" borderId="0" xfId="0" applyFont="1" applyFill="1"/>
    <xf numFmtId="0" fontId="0" fillId="33" borderId="10" xfId="0" applyFill="1" applyBorder="1"/>
    <xf numFmtId="166" fontId="0" fillId="33" borderId="10" xfId="0" applyNumberFormat="1" applyFill="1" applyBorder="1" applyAlignment="1">
      <alignment horizontal="center"/>
    </xf>
    <xf numFmtId="165" fontId="0" fillId="33" borderId="10" xfId="0" applyNumberFormat="1" applyFill="1" applyBorder="1" applyAlignment="1">
      <alignment horizontal="center"/>
    </xf>
    <xf numFmtId="0" fontId="16" fillId="33" borderId="10" xfId="0" applyFont="1" applyFill="1" applyBorder="1" applyAlignment="1">
      <alignment horizontal="center" vertical="center"/>
    </xf>
    <xf numFmtId="0" fontId="18" fillId="33" borderId="0" xfId="0" applyFont="1" applyFill="1" applyAlignment="1">
      <alignment horizontal="justify" vertical="center"/>
    </xf>
    <xf numFmtId="0" fontId="0" fillId="33" borderId="10" xfId="0" applyFill="1" applyBorder="1" applyAlignment="1">
      <alignment horizontal="center" vertical="center"/>
    </xf>
    <xf numFmtId="166" fontId="0" fillId="33" borderId="10" xfId="0" applyNumberFormat="1" applyFill="1" applyBorder="1" applyAlignment="1">
      <alignment horizontal="center" vertical="center"/>
    </xf>
    <xf numFmtId="0" fontId="18" fillId="35" borderId="0" xfId="0" applyFont="1" applyFill="1"/>
    <xf numFmtId="44" fontId="21" fillId="35" borderId="0" xfId="42" applyFont="1" applyFill="1" applyBorder="1" applyProtection="1"/>
    <xf numFmtId="0" fontId="18" fillId="35" borderId="0" xfId="0" applyFont="1" applyFill="1" applyAlignment="1">
      <alignment horizontal="center"/>
    </xf>
    <xf numFmtId="0" fontId="16" fillId="33" borderId="13" xfId="0" applyFont="1" applyFill="1" applyBorder="1"/>
    <xf numFmtId="0" fontId="0" fillId="33" borderId="15" xfId="0" applyFill="1" applyBorder="1"/>
    <xf numFmtId="0" fontId="0" fillId="33" borderId="13" xfId="0" applyFill="1" applyBorder="1"/>
    <xf numFmtId="2" fontId="16" fillId="33" borderId="10" xfId="0" applyNumberFormat="1" applyFont="1" applyFill="1" applyBorder="1" applyAlignment="1">
      <alignment horizontal="center"/>
    </xf>
    <xf numFmtId="0" fontId="0" fillId="33" borderId="31" xfId="0" applyFill="1" applyBorder="1"/>
    <xf numFmtId="8" fontId="0" fillId="33" borderId="10" xfId="0" quotePrefix="1" applyNumberFormat="1" applyFill="1" applyBorder="1" applyAlignment="1">
      <alignment horizontal="center" vertical="center" wrapText="1"/>
    </xf>
    <xf numFmtId="12" fontId="0" fillId="33" borderId="10" xfId="0" quotePrefix="1" applyNumberFormat="1" applyFill="1" applyBorder="1" applyAlignment="1">
      <alignment horizontal="center"/>
    </xf>
    <xf numFmtId="44" fontId="18" fillId="33" borderId="0" xfId="42" applyFont="1" applyFill="1" applyBorder="1" applyProtection="1"/>
    <xf numFmtId="0" fontId="18" fillId="33" borderId="0" xfId="0" applyFont="1" applyFill="1" applyAlignment="1">
      <alignment horizontal="center"/>
    </xf>
    <xf numFmtId="0" fontId="0" fillId="33" borderId="0" xfId="0" applyFill="1" applyAlignment="1">
      <alignment horizontal="center" vertical="center"/>
    </xf>
    <xf numFmtId="166" fontId="0" fillId="33" borderId="0" xfId="0" applyNumberFormat="1" applyFill="1" applyAlignment="1">
      <alignment horizontal="center" vertical="center"/>
    </xf>
    <xf numFmtId="0" fontId="0" fillId="33" borderId="0" xfId="0" applyFill="1" applyAlignment="1">
      <alignment horizontal="justify" vertical="center"/>
    </xf>
    <xf numFmtId="4" fontId="0" fillId="33" borderId="0" xfId="0" applyNumberFormat="1" applyFill="1" applyAlignment="1">
      <alignment horizontal="justify" vertical="center"/>
    </xf>
    <xf numFmtId="166" fontId="27" fillId="0" borderId="13" xfId="47" applyNumberFormat="1" applyFont="1" applyBorder="1"/>
    <xf numFmtId="0" fontId="0" fillId="33" borderId="15" xfId="0" applyFill="1" applyBorder="1" applyAlignment="1">
      <alignment horizontal="center"/>
    </xf>
    <xf numFmtId="0" fontId="0" fillId="33" borderId="10" xfId="0" applyFill="1" applyBorder="1" applyAlignment="1" applyProtection="1">
      <alignment horizontal="center" vertical="center"/>
      <protection locked="0"/>
    </xf>
    <xf numFmtId="0" fontId="0" fillId="33" borderId="0" xfId="0" applyFill="1" applyAlignment="1">
      <alignment horizontal="left" indent="1"/>
    </xf>
    <xf numFmtId="0" fontId="0" fillId="33" borderId="0" xfId="0" applyFill="1" applyAlignment="1">
      <alignment horizontal="right"/>
    </xf>
    <xf numFmtId="0" fontId="0" fillId="33" borderId="0" xfId="0" applyFill="1" applyAlignment="1" applyProtection="1">
      <alignment horizontal="center" vertical="center"/>
      <protection locked="0"/>
    </xf>
    <xf numFmtId="0" fontId="28" fillId="33" borderId="0" xfId="0" applyFont="1" applyFill="1" applyAlignment="1">
      <alignment horizontal="left"/>
    </xf>
    <xf numFmtId="0" fontId="0" fillId="33" borderId="0" xfId="0" applyFill="1" applyAlignment="1">
      <alignment horizontal="right" vertical="center"/>
    </xf>
    <xf numFmtId="0" fontId="0" fillId="33" borderId="0" xfId="0" applyFill="1" applyAlignment="1">
      <alignment vertical="center"/>
    </xf>
    <xf numFmtId="0" fontId="0" fillId="33" borderId="0" xfId="0" applyFill="1" applyAlignment="1">
      <alignment horizontal="left" vertical="center" indent="1"/>
    </xf>
    <xf numFmtId="0" fontId="0" fillId="33" borderId="10" xfId="0" applyFill="1" applyBorder="1" applyAlignment="1" applyProtection="1">
      <alignment horizontal="center" vertical="center" wrapText="1"/>
      <protection locked="0"/>
    </xf>
    <xf numFmtId="0" fontId="0" fillId="33" borderId="0" xfId="0" applyFill="1" applyAlignment="1">
      <alignment horizontal="left"/>
    </xf>
    <xf numFmtId="1" fontId="16" fillId="33" borderId="0" xfId="0" applyNumberFormat="1" applyFont="1" applyFill="1" applyAlignment="1">
      <alignment horizontal="center"/>
    </xf>
    <xf numFmtId="0" fontId="0" fillId="33" borderId="10" xfId="0" applyFill="1" applyBorder="1" applyAlignment="1" applyProtection="1">
      <alignment horizontal="center"/>
      <protection locked="0"/>
    </xf>
    <xf numFmtId="0" fontId="0" fillId="33" borderId="0" xfId="0" applyFill="1" applyAlignment="1" applyProtection="1">
      <alignment horizontal="center"/>
      <protection locked="0"/>
    </xf>
    <xf numFmtId="0" fontId="0" fillId="33" borderId="0" xfId="0" quotePrefix="1" applyFill="1"/>
    <xf numFmtId="0" fontId="0" fillId="33" borderId="21" xfId="0" applyFill="1" applyBorder="1" applyAlignment="1">
      <alignment horizontal="left" indent="2"/>
    </xf>
    <xf numFmtId="0" fontId="0" fillId="33" borderId="15" xfId="0" applyFill="1" applyBorder="1" applyAlignment="1">
      <alignment horizontal="right"/>
    </xf>
    <xf numFmtId="0" fontId="0" fillId="33" borderId="14" xfId="0" applyFill="1" applyBorder="1" applyAlignment="1">
      <alignment horizontal="right"/>
    </xf>
    <xf numFmtId="0" fontId="21" fillId="33" borderId="0" xfId="0" applyFont="1" applyFill="1"/>
    <xf numFmtId="0" fontId="0" fillId="33" borderId="32" xfId="0" applyFill="1" applyBorder="1" applyAlignment="1">
      <alignment horizontal="left" indent="2"/>
    </xf>
    <xf numFmtId="4" fontId="0" fillId="33" borderId="14" xfId="0" applyNumberFormat="1" applyFill="1" applyBorder="1" applyAlignment="1">
      <alignment horizontal="right"/>
    </xf>
    <xf numFmtId="0" fontId="18" fillId="33" borderId="0" xfId="0" applyFont="1" applyFill="1" applyAlignment="1">
      <alignment horizontal="left"/>
    </xf>
    <xf numFmtId="0" fontId="0" fillId="33" borderId="24" xfId="0" applyFill="1" applyBorder="1" applyAlignment="1">
      <alignment horizontal="left" indent="2"/>
    </xf>
    <xf numFmtId="0" fontId="0" fillId="33" borderId="19" xfId="0" applyFill="1" applyBorder="1"/>
    <xf numFmtId="0" fontId="0" fillId="33" borderId="23" xfId="0" applyFill="1" applyBorder="1" applyAlignment="1">
      <alignment horizontal="left" indent="2"/>
    </xf>
    <xf numFmtId="0" fontId="0" fillId="33" borderId="36" xfId="0" applyFill="1" applyBorder="1"/>
    <xf numFmtId="0" fontId="0" fillId="33" borderId="17" xfId="0" applyFill="1" applyBorder="1"/>
    <xf numFmtId="0" fontId="27" fillId="0" borderId="13" xfId="47" quotePrefix="1" applyFont="1" applyBorder="1"/>
    <xf numFmtId="0" fontId="27" fillId="0" borderId="13" xfId="47" applyFont="1" applyBorder="1"/>
    <xf numFmtId="0" fontId="30" fillId="33" borderId="0" xfId="0" applyFont="1" applyFill="1"/>
    <xf numFmtId="167" fontId="0" fillId="33" borderId="0" xfId="0" applyNumberFormat="1" applyFill="1" applyAlignment="1">
      <alignment horizontal="center"/>
    </xf>
    <xf numFmtId="0" fontId="13" fillId="33" borderId="0" xfId="0" applyFont="1" applyFill="1" applyAlignment="1">
      <alignment vertical="center"/>
    </xf>
    <xf numFmtId="0" fontId="16" fillId="37" borderId="0" xfId="0" applyFont="1" applyFill="1"/>
    <xf numFmtId="164" fontId="0" fillId="33" borderId="10" xfId="0" applyNumberFormat="1" applyFill="1" applyBorder="1" applyAlignment="1">
      <alignment horizontal="center"/>
    </xf>
    <xf numFmtId="164" fontId="0" fillId="33" borderId="10" xfId="0" applyNumberFormat="1" applyFill="1" applyBorder="1" applyAlignment="1">
      <alignment horizontal="center" wrapText="1"/>
    </xf>
    <xf numFmtId="2" fontId="16" fillId="33" borderId="0" xfId="0" applyNumberFormat="1" applyFont="1" applyFill="1" applyAlignment="1">
      <alignment horizontal="center"/>
    </xf>
    <xf numFmtId="0" fontId="31" fillId="0" borderId="0" xfId="0" applyFont="1"/>
    <xf numFmtId="166" fontId="27" fillId="33" borderId="0" xfId="47" applyNumberFormat="1" applyFont="1" applyFill="1"/>
    <xf numFmtId="0" fontId="32" fillId="33" borderId="0" xfId="0" applyFont="1" applyFill="1"/>
    <xf numFmtId="0" fontId="16" fillId="33" borderId="37" xfId="0" applyFont="1" applyFill="1" applyBorder="1"/>
    <xf numFmtId="0" fontId="0" fillId="0" borderId="10" xfId="0" applyBorder="1" applyAlignment="1" applyProtection="1">
      <alignment horizontal="center" vertical="center"/>
      <protection locked="0"/>
    </xf>
    <xf numFmtId="0" fontId="0" fillId="0" borderId="10" xfId="0" applyBorder="1" applyAlignment="1" applyProtection="1">
      <alignment horizontal="center"/>
      <protection locked="0"/>
    </xf>
    <xf numFmtId="0" fontId="0" fillId="33" borderId="0" xfId="0" applyFill="1" applyAlignment="1">
      <alignment horizontal="left" vertical="top" wrapText="1"/>
    </xf>
    <xf numFmtId="0" fontId="16" fillId="33" borderId="0" xfId="0" applyFont="1" applyFill="1" applyAlignment="1">
      <alignment vertical="top" wrapText="1"/>
    </xf>
    <xf numFmtId="0" fontId="0" fillId="33" borderId="0" xfId="0" applyFill="1" applyAlignment="1">
      <alignment horizontal="left" vertical="top" wrapText="1" indent="4"/>
    </xf>
    <xf numFmtId="0" fontId="0" fillId="33" borderId="0" xfId="0" applyFill="1" applyAlignment="1">
      <alignment vertical="top" wrapText="1"/>
    </xf>
    <xf numFmtId="0" fontId="16" fillId="33" borderId="0" xfId="0" applyFont="1" applyFill="1" applyAlignment="1">
      <alignment horizontal="left" vertical="top" wrapText="1"/>
    </xf>
    <xf numFmtId="0" fontId="33" fillId="33" borderId="0" xfId="0" applyFont="1" applyFill="1"/>
    <xf numFmtId="0" fontId="0" fillId="39" borderId="0" xfId="0" applyFill="1"/>
    <xf numFmtId="0" fontId="20" fillId="39" borderId="0" xfId="0" applyFont="1" applyFill="1"/>
    <xf numFmtId="0" fontId="0" fillId="39" borderId="0" xfId="0" applyFill="1" applyAlignment="1">
      <alignment horizontal="center" vertical="center" wrapText="1"/>
    </xf>
    <xf numFmtId="0" fontId="0" fillId="39" borderId="0" xfId="0" applyFill="1" applyAlignment="1">
      <alignment horizontal="center"/>
    </xf>
    <xf numFmtId="0" fontId="0" fillId="33" borderId="0" xfId="0" applyFill="1" applyAlignment="1">
      <alignment horizontal="left" vertical="center"/>
    </xf>
    <xf numFmtId="0" fontId="18" fillId="33" borderId="0" xfId="0" applyFont="1" applyFill="1" applyAlignment="1">
      <alignment vertical="center"/>
    </xf>
    <xf numFmtId="0" fontId="0" fillId="0" borderId="0" xfId="0" quotePrefix="1"/>
    <xf numFmtId="165" fontId="0" fillId="33" borderId="0" xfId="0" applyNumberFormat="1" applyFill="1"/>
    <xf numFmtId="0" fontId="0" fillId="33" borderId="41" xfId="0" applyFill="1" applyBorder="1" applyAlignment="1">
      <alignment horizontal="left" indent="2"/>
    </xf>
    <xf numFmtId="0" fontId="0" fillId="33" borderId="43" xfId="0" applyFill="1" applyBorder="1"/>
    <xf numFmtId="0" fontId="0" fillId="33" borderId="44" xfId="0" applyFill="1" applyBorder="1"/>
    <xf numFmtId="0" fontId="0" fillId="33" borderId="49" xfId="0" applyFill="1" applyBorder="1" applyAlignment="1">
      <alignment horizontal="left" indent="2"/>
    </xf>
    <xf numFmtId="0" fontId="0" fillId="33" borderId="50" xfId="0" applyFill="1" applyBorder="1"/>
    <xf numFmtId="0" fontId="30" fillId="33" borderId="25" xfId="0" applyFont="1" applyFill="1" applyBorder="1"/>
    <xf numFmtId="0" fontId="16" fillId="33" borderId="0" xfId="0" applyFont="1" applyFill="1" applyAlignment="1">
      <alignment horizontal="center"/>
    </xf>
    <xf numFmtId="0" fontId="33" fillId="33" borderId="0" xfId="0" applyFont="1" applyFill="1" applyAlignment="1">
      <alignment vertical="top"/>
    </xf>
    <xf numFmtId="0" fontId="33" fillId="33" borderId="0" xfId="0" applyFont="1" applyFill="1" applyAlignment="1">
      <alignment horizontal="center" vertical="top"/>
    </xf>
    <xf numFmtId="0" fontId="0" fillId="0" borderId="0" xfId="0" applyAlignment="1" applyProtection="1">
      <alignment horizontal="center"/>
      <protection locked="0"/>
    </xf>
    <xf numFmtId="166" fontId="0" fillId="33" borderId="0" xfId="0" applyNumberFormat="1" applyFill="1"/>
    <xf numFmtId="0" fontId="16" fillId="33" borderId="0" xfId="0" applyFont="1" applyFill="1" applyAlignment="1">
      <alignment horizontal="center" vertical="center"/>
    </xf>
    <xf numFmtId="0" fontId="35" fillId="33" borderId="0" xfId="0" applyFont="1" applyFill="1" applyAlignment="1">
      <alignment horizontal="left" vertical="top" wrapText="1" indent="4"/>
    </xf>
    <xf numFmtId="0" fontId="0" fillId="33" borderId="0" xfId="0" applyFill="1" applyAlignment="1">
      <alignment horizontal="left" vertical="top" indent="4"/>
    </xf>
    <xf numFmtId="0" fontId="16" fillId="33" borderId="0" xfId="0" applyFont="1" applyFill="1" applyAlignment="1">
      <alignment horizontal="left" vertical="top" wrapText="1" indent="4"/>
    </xf>
    <xf numFmtId="0" fontId="36" fillId="33" borderId="0" xfId="0" applyFont="1" applyFill="1" applyAlignment="1">
      <alignment horizontal="left" vertical="top" wrapText="1" indent="4"/>
    </xf>
    <xf numFmtId="0" fontId="20" fillId="33" borderId="0" xfId="0" applyFont="1" applyFill="1" applyAlignment="1">
      <alignment horizontal="left" vertical="top" wrapText="1" indent="4"/>
    </xf>
    <xf numFmtId="0" fontId="0" fillId="33" borderId="0" xfId="0" quotePrefix="1" applyFill="1" applyAlignment="1">
      <alignment horizontal="left" vertical="top" wrapText="1" indent="6"/>
    </xf>
    <xf numFmtId="0" fontId="0" fillId="33" borderId="0" xfId="0" applyFill="1" applyAlignment="1">
      <alignment horizontal="left" vertical="top" wrapText="1" indent="6"/>
    </xf>
    <xf numFmtId="0" fontId="16" fillId="33" borderId="0" xfId="0" applyFont="1" applyFill="1" applyAlignment="1">
      <alignment horizontal="left" vertical="top" wrapText="1" indent="6"/>
    </xf>
    <xf numFmtId="0" fontId="37" fillId="33" borderId="0" xfId="0" applyFont="1" applyFill="1"/>
    <xf numFmtId="0" fontId="38" fillId="33" borderId="0" xfId="0" applyFont="1" applyFill="1"/>
    <xf numFmtId="0" fontId="38" fillId="33" borderId="0" xfId="0" applyFont="1" applyFill="1" applyAlignment="1">
      <alignment horizontal="left" vertical="top" wrapText="1" indent="7"/>
    </xf>
    <xf numFmtId="0" fontId="38" fillId="33" borderId="0" xfId="0" quotePrefix="1" applyFont="1" applyFill="1" applyAlignment="1">
      <alignment horizontal="left" vertical="top" wrapText="1" indent="7"/>
    </xf>
    <xf numFmtId="0" fontId="40" fillId="33" borderId="0" xfId="0" applyFont="1" applyFill="1" applyAlignment="1">
      <alignment horizontal="left" vertical="top" wrapText="1" indent="7"/>
    </xf>
    <xf numFmtId="0" fontId="0" fillId="33" borderId="0" xfId="0" applyFill="1" applyAlignment="1">
      <alignment horizontal="right" wrapText="1"/>
    </xf>
    <xf numFmtId="0" fontId="41" fillId="33" borderId="0" xfId="0" applyFont="1" applyFill="1"/>
    <xf numFmtId="0" fontId="0" fillId="33" borderId="0" xfId="0" applyFill="1" applyAlignment="1">
      <alignment vertical="center" wrapText="1"/>
    </xf>
    <xf numFmtId="1" fontId="16" fillId="40" borderId="10" xfId="0" applyNumberFormat="1" applyFont="1" applyFill="1" applyBorder="1" applyAlignment="1">
      <alignment horizontal="center"/>
    </xf>
    <xf numFmtId="169" fontId="0" fillId="33" borderId="28" xfId="0" applyNumberFormat="1" applyFill="1" applyBorder="1"/>
    <xf numFmtId="169" fontId="0" fillId="33" borderId="33" xfId="0" applyNumberFormat="1" applyFill="1" applyBorder="1"/>
    <xf numFmtId="169" fontId="0" fillId="33" borderId="34" xfId="0" applyNumberFormat="1" applyFill="1" applyBorder="1"/>
    <xf numFmtId="169" fontId="18" fillId="33" borderId="48" xfId="0" applyNumberFormat="1" applyFont="1" applyFill="1" applyBorder="1"/>
    <xf numFmtId="169" fontId="0" fillId="33" borderId="42" xfId="0" applyNumberFormat="1" applyFill="1" applyBorder="1"/>
    <xf numFmtId="169" fontId="0" fillId="33" borderId="35" xfId="0" applyNumberFormat="1" applyFill="1" applyBorder="1"/>
    <xf numFmtId="169" fontId="0" fillId="33" borderId="22" xfId="0" applyNumberFormat="1" applyFill="1" applyBorder="1"/>
    <xf numFmtId="169" fontId="18" fillId="33" borderId="40" xfId="0" applyNumberFormat="1" applyFont="1" applyFill="1" applyBorder="1"/>
    <xf numFmtId="0" fontId="27" fillId="33" borderId="0" xfId="0" applyFont="1" applyFill="1" applyAlignment="1">
      <alignment vertical="center"/>
    </xf>
    <xf numFmtId="0" fontId="33" fillId="33" borderId="30" xfId="0" applyFont="1" applyFill="1" applyBorder="1" applyAlignment="1">
      <alignment horizontal="left" vertical="top" wrapText="1"/>
    </xf>
    <xf numFmtId="0" fontId="18" fillId="33" borderId="38" xfId="0" applyFont="1" applyFill="1" applyBorder="1" applyAlignment="1">
      <alignment horizontal="right"/>
    </xf>
    <xf numFmtId="0" fontId="18" fillId="33" borderId="0" xfId="0" applyFont="1" applyFill="1" applyAlignment="1">
      <alignment horizontal="right"/>
    </xf>
    <xf numFmtId="0" fontId="18" fillId="33" borderId="39" xfId="0" applyFont="1" applyFill="1" applyBorder="1" applyAlignment="1">
      <alignment horizontal="right"/>
    </xf>
    <xf numFmtId="0" fontId="18" fillId="33" borderId="45" xfId="0" applyFont="1" applyFill="1" applyBorder="1" applyAlignment="1">
      <alignment horizontal="right"/>
    </xf>
    <xf numFmtId="0" fontId="18" fillId="33" borderId="46" xfId="0" applyFont="1" applyFill="1" applyBorder="1" applyAlignment="1">
      <alignment horizontal="right"/>
    </xf>
    <xf numFmtId="0" fontId="18" fillId="33" borderId="47" xfId="0" applyFont="1" applyFill="1" applyBorder="1" applyAlignment="1">
      <alignment horizontal="right"/>
    </xf>
    <xf numFmtId="0" fontId="30" fillId="33" borderId="51" xfId="0" applyFont="1" applyFill="1" applyBorder="1" applyAlignment="1">
      <alignment horizontal="left"/>
    </xf>
    <xf numFmtId="0" fontId="30" fillId="33" borderId="20" xfId="0" applyFont="1" applyFill="1" applyBorder="1" applyAlignment="1">
      <alignment horizontal="left"/>
    </xf>
    <xf numFmtId="0" fontId="30" fillId="33" borderId="29" xfId="0" applyFont="1" applyFill="1" applyBorder="1" applyAlignment="1">
      <alignment horizontal="left"/>
    </xf>
    <xf numFmtId="0" fontId="30" fillId="33" borderId="23" xfId="0" applyFont="1" applyFill="1" applyBorder="1" applyAlignment="1">
      <alignment horizontal="left"/>
    </xf>
    <xf numFmtId="0" fontId="30" fillId="33" borderId="15" xfId="0" applyFont="1" applyFill="1" applyBorder="1" applyAlignment="1">
      <alignment horizontal="left"/>
    </xf>
    <xf numFmtId="0" fontId="30" fillId="33" borderId="28" xfId="0" applyFont="1" applyFill="1" applyBorder="1" applyAlignment="1">
      <alignment horizontal="left"/>
    </xf>
  </cellXfs>
  <cellStyles count="5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52" xr:uid="{00000000-0005-0000-0000-00001B000000}"/>
    <cellStyle name="Comma0" xfId="54" xr:uid="{00000000-0005-0000-0000-00001C000000}"/>
    <cellStyle name="Currency" xfId="42" builtinId="4"/>
    <cellStyle name="Currency 2" xfId="45" xr:uid="{00000000-0005-0000-0000-00001E000000}"/>
    <cellStyle name="Currency0" xfId="55" xr:uid="{00000000-0005-0000-0000-00001F000000}"/>
    <cellStyle name="Date" xfId="56" xr:uid="{00000000-0005-0000-0000-000020000000}"/>
    <cellStyle name="Explanatory Text" xfId="16" builtinId="53" customBuiltin="1"/>
    <cellStyle name="Fixed" xfId="57" xr:uid="{00000000-0005-0000-0000-000022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7" xr:uid="{00000000-0005-0000-0000-00002C000000}"/>
    <cellStyle name="Normal 3" xfId="48" xr:uid="{00000000-0005-0000-0000-00002D000000}"/>
    <cellStyle name="Normal 4" xfId="49" xr:uid="{00000000-0005-0000-0000-00002E000000}"/>
    <cellStyle name="Normal 5" xfId="43" xr:uid="{00000000-0005-0000-0000-00002F000000}"/>
    <cellStyle name="Normal 6" xfId="51" xr:uid="{00000000-0005-0000-0000-000030000000}"/>
    <cellStyle name="Normal 7" xfId="44" xr:uid="{00000000-0005-0000-0000-000031000000}"/>
    <cellStyle name="Note" xfId="15" builtinId="10" customBuiltin="1"/>
    <cellStyle name="Output" xfId="10" builtinId="21" customBuiltin="1"/>
    <cellStyle name="Percent 2" xfId="50" xr:uid="{00000000-0005-0000-0000-000034000000}"/>
    <cellStyle name="Percent 3" xfId="53" xr:uid="{00000000-0005-0000-0000-000035000000}"/>
    <cellStyle name="Percent 4" xfId="46" xr:uid="{00000000-0005-0000-0000-000036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99"/>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0</xdr:row>
          <xdr:rowOff>142875</xdr:rowOff>
        </xdr:from>
        <xdr:to>
          <xdr:col>8</xdr:col>
          <xdr:colOff>295275</xdr:colOff>
          <xdr:row>2</xdr:row>
          <xdr:rowOff>152400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Clear Form</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26</xdr:col>
      <xdr:colOff>359924</xdr:colOff>
      <xdr:row>55</xdr:row>
      <xdr:rowOff>151095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90500"/>
          <a:ext cx="16209524" cy="104380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2:N198"/>
  <sheetViews>
    <sheetView tabSelected="1" topLeftCell="A132" zoomScaleNormal="100" zoomScaleSheetLayoutView="120" workbookViewId="0">
      <selection activeCell="K18" sqref="K18"/>
    </sheetView>
  </sheetViews>
  <sheetFormatPr defaultColWidth="9.140625" defaultRowHeight="15" x14ac:dyDescent="0.25"/>
  <cols>
    <col min="1" max="1" width="6.5703125" style="4" customWidth="1"/>
    <col min="2" max="2" width="4.42578125" style="4" customWidth="1"/>
    <col min="3" max="3" width="25.7109375" style="4" customWidth="1"/>
    <col min="4" max="4" width="16.5703125" style="4" customWidth="1"/>
    <col min="5" max="5" width="21.28515625" style="4" customWidth="1"/>
    <col min="6" max="6" width="16.85546875" style="5" customWidth="1"/>
    <col min="7" max="7" width="23.85546875" style="4" customWidth="1"/>
    <col min="8" max="8" width="11.85546875" style="5" customWidth="1"/>
    <col min="9" max="9" width="11.140625" style="4" customWidth="1"/>
    <col min="10" max="10" width="11.140625" style="5" customWidth="1"/>
    <col min="11" max="11" width="11.140625" style="4" customWidth="1"/>
    <col min="12" max="16384" width="9.140625" style="4"/>
  </cols>
  <sheetData>
    <row r="2" spans="2:10" ht="18.75" x14ac:dyDescent="0.3">
      <c r="B2" s="103" t="s">
        <v>0</v>
      </c>
    </row>
    <row r="3" spans="2:10" x14ac:dyDescent="0.25">
      <c r="B3" s="4" t="s">
        <v>1</v>
      </c>
    </row>
    <row r="4" spans="2:10" x14ac:dyDescent="0.25">
      <c r="B4" s="88"/>
    </row>
    <row r="5" spans="2:10" x14ac:dyDescent="0.25">
      <c r="B5" s="4" t="s">
        <v>2</v>
      </c>
      <c r="H5" s="4"/>
    </row>
    <row r="6" spans="2:10" x14ac:dyDescent="0.25">
      <c r="C6" s="75"/>
      <c r="D6" s="76" t="s">
        <v>4</v>
      </c>
      <c r="E6" s="77"/>
      <c r="H6" s="4"/>
      <c r="J6" s="79"/>
    </row>
    <row r="7" spans="2:10" x14ac:dyDescent="0.25">
      <c r="C7" s="75"/>
      <c r="D7" s="76" t="s">
        <v>5</v>
      </c>
      <c r="F7" s="4"/>
      <c r="G7" s="80"/>
      <c r="H7" s="80"/>
      <c r="I7" s="80"/>
    </row>
    <row r="8" spans="2:10" x14ac:dyDescent="0.25">
      <c r="C8" s="75"/>
      <c r="D8" s="76" t="s">
        <v>6</v>
      </c>
    </row>
    <row r="9" spans="2:10" x14ac:dyDescent="0.25">
      <c r="C9" s="121" t="s">
        <v>7</v>
      </c>
    </row>
    <row r="10" spans="2:10" x14ac:dyDescent="0.25">
      <c r="C10" s="20"/>
    </row>
    <row r="11" spans="2:10" x14ac:dyDescent="0.25">
      <c r="B11" s="4" t="s">
        <v>8</v>
      </c>
      <c r="E11" s="77"/>
    </row>
    <row r="12" spans="2:10" s="81" customFormat="1" x14ac:dyDescent="0.25">
      <c r="C12" s="83"/>
      <c r="D12" s="82" t="s">
        <v>9</v>
      </c>
      <c r="E12" s="167" t="str">
        <f>IF(C12="X","Number of Connections","")</f>
        <v/>
      </c>
      <c r="F12" s="115"/>
      <c r="G12" s="80" t="str">
        <f>IF(C12="X","Existing well?",IF(C12="Single Family, heated &amp; cooled area &lt; 1,400 ft2","Existing Well",""))</f>
        <v/>
      </c>
      <c r="H12" s="75"/>
      <c r="J12" s="69"/>
    </row>
    <row r="13" spans="2:10" x14ac:dyDescent="0.25">
      <c r="C13" s="75"/>
      <c r="D13" s="76" t="s">
        <v>10</v>
      </c>
      <c r="E13" s="77" t="str">
        <f>IF(C13="X","Number of bedrooms","")</f>
        <v/>
      </c>
      <c r="F13" s="115"/>
    </row>
    <row r="14" spans="2:10" s="81" customFormat="1" x14ac:dyDescent="0.25">
      <c r="C14" s="75"/>
      <c r="D14" s="76" t="s">
        <v>11</v>
      </c>
      <c r="E14" s="80" t="str">
        <f>IF($C$14="X","Facility Type","")</f>
        <v/>
      </c>
      <c r="F14" s="83"/>
      <c r="G14" s="80" t="str">
        <f>IF($C$14="X","Total Building SQFT","")</f>
        <v/>
      </c>
      <c r="H14" s="114"/>
      <c r="I14" s="155"/>
    </row>
    <row r="15" spans="2:10" x14ac:dyDescent="0.25">
      <c r="F15" s="4"/>
      <c r="G15" s="77" t="str">
        <f>IF(C14="X","Est. total average daily flow (gpd)","")</f>
        <v/>
      </c>
      <c r="H15" s="158" t="str">
        <f>IFERROR(VLOOKUP(F14,$C$139:$H$177,6,FALSE)*H14,"")</f>
        <v/>
      </c>
      <c r="J15" s="4"/>
    </row>
    <row r="16" spans="2:10" x14ac:dyDescent="0.25">
      <c r="G16" s="77"/>
      <c r="H16" s="85"/>
      <c r="I16" s="84"/>
    </row>
    <row r="17" spans="2:10" x14ac:dyDescent="0.25">
      <c r="B17" s="4" t="s">
        <v>13</v>
      </c>
    </row>
    <row r="18" spans="2:10" s="81" customFormat="1" x14ac:dyDescent="0.25">
      <c r="C18" s="75"/>
      <c r="D18" s="126" t="s">
        <v>14</v>
      </c>
      <c r="E18" s="80" t="str">
        <f>IF(C18="X","Meter Size","")</f>
        <v/>
      </c>
      <c r="F18" s="75"/>
      <c r="G18" s="80" t="str">
        <f>IF(C18="X","Meter Install Type","")</f>
        <v/>
      </c>
      <c r="H18" s="83"/>
      <c r="I18" s="127" t="str">
        <f>IF(F18="","",IF(F18=C81,"",IF(F18=C82,"",IF(F18=C83,"",IF(F18=C84,"","(GRU installs meters &gt; 2-in: Select GRU install Meter, Box &amp; Yoke)")))))</f>
        <v/>
      </c>
      <c r="J18" s="69"/>
    </row>
    <row r="19" spans="2:10" x14ac:dyDescent="0.25">
      <c r="C19" s="78"/>
      <c r="D19" s="76"/>
      <c r="E19" s="77" t="str">
        <f>IF(C18="X","Number of Meters","")</f>
        <v/>
      </c>
      <c r="F19" s="86"/>
      <c r="G19" s="79"/>
      <c r="H19" s="87"/>
      <c r="I19" s="20"/>
    </row>
    <row r="20" spans="2:10" x14ac:dyDescent="0.25">
      <c r="C20" s="75"/>
      <c r="D20" s="4" t="s">
        <v>17</v>
      </c>
      <c r="F20" s="4"/>
    </row>
    <row r="22" spans="2:10" s="81" customFormat="1" x14ac:dyDescent="0.25">
      <c r="C22" s="75"/>
      <c r="D22" s="126" t="s">
        <v>18</v>
      </c>
      <c r="E22" s="80" t="str">
        <f>IF(C22="X","Meter Size","")</f>
        <v/>
      </c>
      <c r="F22" s="75"/>
      <c r="G22" s="80" t="str">
        <f>IF(C22="X","Meter Install Type","")</f>
        <v/>
      </c>
      <c r="H22" s="83"/>
      <c r="I22" s="127" t="str">
        <f>IF(F22="","",IF(F22=C81,"",IF(F22=C82,"",IF(F22=C83,"",IF(F22=C84,"","(GRU installs meters &gt; 2-in: Select GRU install Meter, Box &amp; Yoke)")))))</f>
        <v/>
      </c>
      <c r="J22" s="69"/>
    </row>
    <row r="23" spans="2:10" x14ac:dyDescent="0.25">
      <c r="E23" s="77" t="str">
        <f>IF(C22="X","Number of Meters","")</f>
        <v/>
      </c>
      <c r="F23" s="86"/>
      <c r="H23" s="4"/>
      <c r="J23" s="4"/>
    </row>
    <row r="24" spans="2:10" x14ac:dyDescent="0.25">
      <c r="B24" s="4" t="s">
        <v>19</v>
      </c>
    </row>
    <row r="25" spans="2:10" ht="45" x14ac:dyDescent="0.25">
      <c r="C25" s="157" t="s">
        <v>20</v>
      </c>
      <c r="D25" s="86"/>
      <c r="F25" s="4"/>
      <c r="H25" s="4"/>
    </row>
    <row r="26" spans="2:10" x14ac:dyDescent="0.25">
      <c r="C26" s="4" t="s">
        <v>21</v>
      </c>
      <c r="E26" s="77" t="s">
        <v>22</v>
      </c>
      <c r="F26" s="115"/>
      <c r="G26" s="77" t="s">
        <v>23</v>
      </c>
      <c r="H26" s="115"/>
    </row>
    <row r="27" spans="2:10" x14ac:dyDescent="0.25">
      <c r="E27" s="77"/>
      <c r="F27" s="139"/>
      <c r="G27" s="77"/>
      <c r="H27" s="139"/>
    </row>
    <row r="28" spans="2:10" x14ac:dyDescent="0.25">
      <c r="B28" s="4" t="s">
        <v>24</v>
      </c>
      <c r="F28" s="4"/>
      <c r="H28" s="4"/>
      <c r="J28" s="4"/>
    </row>
    <row r="29" spans="2:10" x14ac:dyDescent="0.25">
      <c r="C29" s="4" t="s">
        <v>25</v>
      </c>
      <c r="D29" s="75"/>
      <c r="E29" s="77" t="str">
        <f>IF(D29="","","Num of Taps")</f>
        <v/>
      </c>
      <c r="F29" s="75"/>
    </row>
    <row r="30" spans="2:10" x14ac:dyDescent="0.25">
      <c r="C30" s="4" t="s">
        <v>25</v>
      </c>
      <c r="D30" s="75"/>
      <c r="E30" s="77" t="str">
        <f>IF(D30="","","Num of Taps")</f>
        <v/>
      </c>
      <c r="F30" s="75"/>
    </row>
    <row r="31" spans="2:10" x14ac:dyDescent="0.25">
      <c r="C31" s="4" t="s">
        <v>25</v>
      </c>
      <c r="D31" s="75"/>
      <c r="E31" s="77" t="str">
        <f>IF(D31="","","Num of Taps")</f>
        <v/>
      </c>
      <c r="F31" s="75"/>
    </row>
    <row r="32" spans="2:10" x14ac:dyDescent="0.25">
      <c r="C32" s="151"/>
      <c r="D32" s="78"/>
      <c r="E32" s="77"/>
      <c r="F32" s="78"/>
    </row>
    <row r="34" spans="2:13" ht="15.75" x14ac:dyDescent="0.25">
      <c r="B34" s="150" t="s">
        <v>26</v>
      </c>
    </row>
    <row r="35" spans="2:13" x14ac:dyDescent="0.25">
      <c r="B35" s="4" t="s">
        <v>27</v>
      </c>
    </row>
    <row r="36" spans="2:13" x14ac:dyDescent="0.25">
      <c r="C36" s="4" t="s">
        <v>28</v>
      </c>
      <c r="E36" s="75"/>
    </row>
    <row r="37" spans="2:13" x14ac:dyDescent="0.25">
      <c r="C37" s="4" t="s">
        <v>29</v>
      </c>
      <c r="E37" s="75"/>
    </row>
    <row r="39" spans="2:13" x14ac:dyDescent="0.25">
      <c r="C39" s="4" t="str">
        <f>IF($E$36="X","What type of establishment is being built?",IF($E$37="X","What type of establishment is being built?",""))</f>
        <v/>
      </c>
    </row>
    <row r="40" spans="2:13" x14ac:dyDescent="0.25">
      <c r="C40" s="4" t="str">
        <f>IF($E$36="X","Commercial &amp; Institutional",IF($E$37="X","Commercial &amp; Institutional",""))</f>
        <v/>
      </c>
      <c r="D40" s="75"/>
      <c r="E40" s="77" t="str">
        <f>IF(D40="X","Total SQFT","")</f>
        <v/>
      </c>
      <c r="F40" s="115"/>
      <c r="G40" s="111"/>
    </row>
    <row r="41" spans="2:13" x14ac:dyDescent="0.25">
      <c r="C41" s="4" t="str">
        <f>IF($E$36="X","Hotel &amp;/or Motel",IF($E$37="X","Hotel &amp;/or Motel",""))</f>
        <v/>
      </c>
      <c r="D41" s="75"/>
      <c r="E41" s="77" t="str">
        <f>IF(D41="X","Number of Rooms","")</f>
        <v/>
      </c>
      <c r="F41" s="115"/>
      <c r="G41" s="111"/>
    </row>
    <row r="42" spans="2:13" x14ac:dyDescent="0.25">
      <c r="C42" s="4" t="str">
        <f>IF($E$36="X","Laboratory (wet)",IF($E$37="X","Laboratory (wet)",""))</f>
        <v/>
      </c>
      <c r="D42" s="75"/>
      <c r="E42" s="77" t="str">
        <f>IF(D42="X","Total SQFT","")</f>
        <v/>
      </c>
      <c r="F42" s="115"/>
      <c r="G42" s="111"/>
    </row>
    <row r="43" spans="2:13" x14ac:dyDescent="0.25">
      <c r="C43" s="4" t="str">
        <f>IF($E$36="X","Multi-Family Residential",IF($E$37="X","Multi-Family Residential",""))</f>
        <v/>
      </c>
      <c r="D43" s="75"/>
      <c r="E43" s="77" t="str">
        <f>IF(D43="X","Number of Bedrooms","")</f>
        <v/>
      </c>
      <c r="F43" s="115"/>
      <c r="G43" s="111"/>
    </row>
    <row r="44" spans="2:13" x14ac:dyDescent="0.25">
      <c r="C44" s="4" t="str">
        <f>IF($E$36="X","Office &amp; Laboratory (dry)",IF($E$37="X","Office &amp; Laboratory (dry)",""))</f>
        <v/>
      </c>
      <c r="D44" s="75"/>
      <c r="E44" s="77" t="str">
        <f>IF(D44="X","Total SQFT","")</f>
        <v/>
      </c>
      <c r="F44" s="115"/>
      <c r="G44" s="111"/>
    </row>
    <row r="45" spans="2:13" x14ac:dyDescent="0.25">
      <c r="C45" s="4" t="str">
        <f>IF($E$36="X","Parking Garage",IF($E$37="X","Parking Garage",""))</f>
        <v/>
      </c>
      <c r="D45" s="75"/>
      <c r="E45" s="77" t="str">
        <f>IF(D45="X","Total SQFT","")</f>
        <v/>
      </c>
      <c r="F45" s="115"/>
      <c r="G45" s="111"/>
    </row>
    <row r="48" spans="2:13" ht="32.25" thickBot="1" x14ac:dyDescent="0.55000000000000004">
      <c r="B48" s="156" t="s">
        <v>30</v>
      </c>
      <c r="J48" s="13"/>
      <c r="L48" s="136"/>
      <c r="M48" s="136"/>
    </row>
    <row r="49" spans="2:14" ht="18.75" x14ac:dyDescent="0.3">
      <c r="B49" s="175" t="s">
        <v>31</v>
      </c>
      <c r="C49" s="176"/>
      <c r="D49" s="176"/>
      <c r="E49" s="176"/>
      <c r="F49" s="176"/>
      <c r="G49" s="177"/>
      <c r="J49" s="111"/>
      <c r="L49" s="36"/>
      <c r="M49" s="36"/>
    </row>
    <row r="50" spans="2:14" ht="13.5" customHeight="1" x14ac:dyDescent="0.25">
      <c r="B50" s="98" t="s">
        <v>32</v>
      </c>
      <c r="C50" s="61"/>
      <c r="D50" s="61"/>
      <c r="E50" s="90"/>
      <c r="F50" s="91"/>
      <c r="G50" s="165">
        <f>IF(C18="X",IF($C$12="X",$F$74*F12,IF($C$13="X",$F$13*70*4.96,IF($C$14="X",IF($H$15&lt;=280,$F$74,$H$15*4.96),IF(OR(C12=C75,C12=C76),IF(C12=C76,F76,F75),0)))),0)</f>
        <v>0</v>
      </c>
      <c r="J50" s="111"/>
      <c r="L50" s="36"/>
      <c r="M50" s="36"/>
      <c r="N50" s="104"/>
    </row>
    <row r="51" spans="2:14" ht="13.5" customHeight="1" x14ac:dyDescent="0.25">
      <c r="B51" s="89" t="s">
        <v>33</v>
      </c>
      <c r="C51" s="62"/>
      <c r="D51" s="61"/>
      <c r="E51" s="61"/>
      <c r="F51" s="38"/>
      <c r="G51" s="159">
        <f>(IF(H18="GRU Install Meter Only",VLOOKUP(F18,C81:E91,2,FALSE),IF(H18="GRU Install Meter, Box, &amp; Yoke",VLOOKUP(F18,C81:E91,3,FALSE),0))+IF(C18="X",IF(H12="X",F81,0),0))*F19</f>
        <v>0</v>
      </c>
      <c r="H51" s="92" t="str">
        <f>IF(H12="X",IF(C18="X","  GRU installed backflow preventer fee included:  $200",""),"")</f>
        <v/>
      </c>
      <c r="J51" s="111"/>
      <c r="L51" s="36"/>
      <c r="M51" s="36"/>
    </row>
    <row r="52" spans="2:14" ht="13.5" customHeight="1" x14ac:dyDescent="0.25">
      <c r="B52" s="93" t="s">
        <v>34</v>
      </c>
      <c r="C52" s="62"/>
      <c r="D52" s="61"/>
      <c r="E52" s="90"/>
      <c r="F52" s="94"/>
      <c r="G52" s="165">
        <f>IF(C20="X",IF($C$12="X",$F$103*F12,IF($C$13="X",$F$13*70*14.57,IF($C$14="X",IF($H$15&lt;=280,$F$103,$H$15*14.57),IF(OR(C12=C75,C12=C76),IF(C12=C76,F105,F104),0)))),0)</f>
        <v>0</v>
      </c>
      <c r="J52" s="111"/>
      <c r="L52" s="36"/>
      <c r="M52" s="36"/>
    </row>
    <row r="53" spans="2:14" ht="13.5" customHeight="1" thickBot="1" x14ac:dyDescent="0.3">
      <c r="B53" s="130" t="s">
        <v>35</v>
      </c>
      <c r="C53" s="134"/>
      <c r="D53" s="99"/>
      <c r="E53" s="99"/>
      <c r="F53" s="100"/>
      <c r="G53" s="161">
        <f>(IF(H22="GRU Install Meter Only",VLOOKUP(F22,C81:E91,2,FALSE),IF(H22="GRU install Meter, Box, &amp; Yoke",VLOOKUP(F22,C81:E91,3,FALSE),0)))*F23</f>
        <v>0</v>
      </c>
      <c r="J53" s="111"/>
      <c r="L53" s="36"/>
      <c r="M53" s="36"/>
    </row>
    <row r="54" spans="2:14" ht="15.75" thickTop="1" x14ac:dyDescent="0.25">
      <c r="B54" s="169" t="s">
        <v>36</v>
      </c>
      <c r="C54" s="170"/>
      <c r="D54" s="170"/>
      <c r="E54" s="170"/>
      <c r="F54" s="171"/>
      <c r="G54" s="166">
        <f>SUM(G50:G53)</f>
        <v>0</v>
      </c>
      <c r="J54" s="111"/>
      <c r="L54" s="36"/>
      <c r="M54" s="36"/>
    </row>
    <row r="55" spans="2:14" ht="18.75" x14ac:dyDescent="0.3">
      <c r="B55" s="178" t="s">
        <v>37</v>
      </c>
      <c r="C55" s="179"/>
      <c r="D55" s="179"/>
      <c r="E55" s="179"/>
      <c r="F55" s="179"/>
      <c r="G55" s="180"/>
      <c r="H55" s="95"/>
      <c r="J55" s="141"/>
      <c r="K55" s="141"/>
    </row>
    <row r="56" spans="2:14" ht="13.5" customHeight="1" x14ac:dyDescent="0.25">
      <c r="B56" s="89" t="s">
        <v>38</v>
      </c>
      <c r="C56" s="62"/>
      <c r="D56" s="61"/>
      <c r="E56" s="61"/>
      <c r="F56" s="38"/>
      <c r="G56" s="159">
        <f>IF(D25="water",D111,IF(D25="wastewater",D112,IF(D25="water, wastewater",D111+D112,0)))</f>
        <v>0</v>
      </c>
      <c r="H56" s="95"/>
      <c r="J56" s="69"/>
      <c r="K56" s="70"/>
      <c r="L56" s="140"/>
    </row>
    <row r="57" spans="2:14" ht="13.5" customHeight="1" x14ac:dyDescent="0.25">
      <c r="B57" s="96" t="s">
        <v>39</v>
      </c>
      <c r="C57" s="97"/>
      <c r="D57" s="61"/>
      <c r="E57" s="61"/>
      <c r="F57" s="38"/>
      <c r="G57" s="160">
        <f>F26*D115+H26*D116</f>
        <v>0</v>
      </c>
      <c r="H57" s="95"/>
      <c r="J57" s="69"/>
      <c r="K57" s="70"/>
      <c r="L57" s="140"/>
    </row>
    <row r="58" spans="2:14" ht="13.5" customHeight="1" x14ac:dyDescent="0.25">
      <c r="B58" s="98" t="s">
        <v>40</v>
      </c>
      <c r="C58" s="61"/>
      <c r="D58" s="61"/>
      <c r="E58" s="61"/>
      <c r="F58" s="38"/>
      <c r="G58" s="160">
        <f>(IFERROR(VLOOKUP(D29,$C$120:$D$125,2,FALSE),0))*F29+(IFERROR(VLOOKUP(D30,$C$120:$D$125,2,FALSE),0))*F30+(IFERROR(VLOOKUP(D31,$C$120:$D$125,2,FALSE),0))*F31</f>
        <v>0</v>
      </c>
      <c r="H58" s="95"/>
      <c r="J58" s="69"/>
      <c r="K58" s="70"/>
      <c r="L58" s="140"/>
    </row>
    <row r="59" spans="2:14" ht="13.5" customHeight="1" x14ac:dyDescent="0.25">
      <c r="B59" s="96" t="s">
        <v>41</v>
      </c>
      <c r="C59" s="97"/>
      <c r="D59" s="61"/>
      <c r="E59" s="61"/>
      <c r="F59" s="38"/>
      <c r="G59" s="160">
        <f>IF(E36="X",F40*E129+F41*E130+F42*E131+F43*E132+F44*E133+F45*E134,0)</f>
        <v>0</v>
      </c>
      <c r="H59" s="95"/>
      <c r="J59" s="69"/>
      <c r="K59" s="70"/>
      <c r="L59" s="140"/>
    </row>
    <row r="60" spans="2:14" ht="13.5" customHeight="1" thickBot="1" x14ac:dyDescent="0.3">
      <c r="B60" s="130" t="s">
        <v>42</v>
      </c>
      <c r="C60" s="99"/>
      <c r="D60" s="99"/>
      <c r="E60" s="99"/>
      <c r="F60" s="100"/>
      <c r="G60" s="161">
        <f>IF(E37="X",F40*F129+F41*F130+F42*F131+F43*F132+F44*F133+F45*0,0)</f>
        <v>0</v>
      </c>
      <c r="H60" s="95"/>
      <c r="J60" s="69"/>
      <c r="K60" s="70"/>
      <c r="L60" s="140"/>
    </row>
    <row r="61" spans="2:14" ht="15.75" thickTop="1" x14ac:dyDescent="0.25">
      <c r="B61" s="172" t="s">
        <v>36</v>
      </c>
      <c r="C61" s="173"/>
      <c r="D61" s="173"/>
      <c r="E61" s="173"/>
      <c r="F61" s="174"/>
      <c r="G61" s="162">
        <f>SUM(G56:G60)</f>
        <v>0</v>
      </c>
      <c r="H61" s="95"/>
      <c r="J61" s="69"/>
      <c r="K61" s="70"/>
      <c r="L61" s="140"/>
    </row>
    <row r="62" spans="2:14" ht="15.75" thickBot="1" x14ac:dyDescent="0.3">
      <c r="B62" s="133" t="s">
        <v>43</v>
      </c>
      <c r="C62" s="131"/>
      <c r="D62" s="131"/>
      <c r="E62" s="131"/>
      <c r="F62" s="132"/>
      <c r="G62" s="163">
        <f>IF(C7="x",(SUM(G50:G53)+SUM(G56:G58))*0.25,0)</f>
        <v>0</v>
      </c>
    </row>
    <row r="63" spans="2:14" ht="19.5" thickBot="1" x14ac:dyDescent="0.35">
      <c r="B63" s="135" t="s">
        <v>44</v>
      </c>
      <c r="C63" s="6"/>
      <c r="D63" s="64"/>
      <c r="E63" s="64"/>
      <c r="F63" s="7"/>
      <c r="G63" s="164">
        <f>G62+G61+G54</f>
        <v>0</v>
      </c>
    </row>
    <row r="64" spans="2:14" s="137" customFormat="1" ht="67.5" customHeight="1" x14ac:dyDescent="0.25">
      <c r="B64" s="168" t="s">
        <v>45</v>
      </c>
      <c r="C64" s="168"/>
      <c r="D64" s="168"/>
      <c r="E64" s="168"/>
      <c r="F64" s="168"/>
      <c r="G64" s="168"/>
      <c r="H64" s="138"/>
      <c r="J64" s="138"/>
    </row>
    <row r="65" spans="1:11" ht="15.75" thickBot="1" x14ac:dyDescent="0.3"/>
    <row r="66" spans="1:11" s="105" customFormat="1" ht="15.75" thickBot="1" x14ac:dyDescent="0.3">
      <c r="A66" s="8" t="s">
        <v>46</v>
      </c>
      <c r="B66" s="8"/>
      <c r="C66" s="8"/>
      <c r="D66" s="8"/>
      <c r="E66" s="8"/>
      <c r="F66" s="9"/>
      <c r="G66" s="8"/>
      <c r="H66" s="9"/>
      <c r="I66" s="8"/>
      <c r="J66" s="9"/>
      <c r="K66" s="8"/>
    </row>
    <row r="68" spans="1:11" s="20" customFormat="1" ht="18.75" x14ac:dyDescent="0.3">
      <c r="B68" s="103" t="s">
        <v>209</v>
      </c>
      <c r="D68" s="67"/>
      <c r="F68" s="68"/>
      <c r="H68" s="68"/>
      <c r="J68" s="68"/>
    </row>
    <row r="69" spans="1:11" s="20" customFormat="1" ht="18.75" x14ac:dyDescent="0.3">
      <c r="B69" s="103"/>
      <c r="D69" s="67"/>
      <c r="F69" s="68"/>
      <c r="H69" s="68"/>
      <c r="J69" s="68"/>
    </row>
    <row r="70" spans="1:11" x14ac:dyDescent="0.25">
      <c r="A70" s="10"/>
      <c r="B70" s="106" t="s">
        <v>47</v>
      </c>
      <c r="C70" s="10"/>
      <c r="D70" s="11"/>
      <c r="E70" s="10"/>
      <c r="F70" s="12"/>
      <c r="G70" s="10"/>
      <c r="H70" s="12"/>
      <c r="I70" s="10"/>
      <c r="J70" s="12"/>
      <c r="K70" s="10"/>
    </row>
    <row r="71" spans="1:11" x14ac:dyDescent="0.25">
      <c r="A71" s="20"/>
      <c r="B71" s="13"/>
      <c r="C71" s="20"/>
      <c r="D71" s="67"/>
      <c r="E71" s="20"/>
      <c r="F71" s="68"/>
      <c r="G71" s="20"/>
      <c r="H71" s="68"/>
      <c r="I71" s="20"/>
      <c r="J71" s="68"/>
      <c r="K71" s="20"/>
    </row>
    <row r="72" spans="1:11" x14ac:dyDescent="0.25">
      <c r="C72" s="13" t="s">
        <v>48</v>
      </c>
      <c r="D72" s="14"/>
    </row>
    <row r="73" spans="1:11" ht="60" x14ac:dyDescent="0.25">
      <c r="C73" s="15" t="s">
        <v>49</v>
      </c>
      <c r="D73" s="15" t="s">
        <v>50</v>
      </c>
      <c r="E73" s="15" t="s">
        <v>51</v>
      </c>
      <c r="F73" s="15" t="s">
        <v>52</v>
      </c>
    </row>
    <row r="74" spans="1:11" ht="45" x14ac:dyDescent="0.25">
      <c r="C74" s="16" t="s">
        <v>53</v>
      </c>
      <c r="D74" s="17">
        <v>555</v>
      </c>
      <c r="E74" s="17">
        <v>835</v>
      </c>
      <c r="F74" s="17">
        <v>1390</v>
      </c>
      <c r="G74" s="18"/>
    </row>
    <row r="75" spans="1:11" ht="32.25" x14ac:dyDescent="0.25">
      <c r="C75" s="16" t="s">
        <v>54</v>
      </c>
      <c r="D75" s="17">
        <v>360</v>
      </c>
      <c r="E75" s="17">
        <v>543</v>
      </c>
      <c r="F75" s="17">
        <v>903</v>
      </c>
      <c r="G75" s="18"/>
    </row>
    <row r="76" spans="1:11" ht="32.25" x14ac:dyDescent="0.25">
      <c r="C76" s="16" t="s">
        <v>201</v>
      </c>
      <c r="D76" s="17">
        <v>198</v>
      </c>
      <c r="E76" s="17">
        <v>298</v>
      </c>
      <c r="F76" s="17">
        <v>496</v>
      </c>
      <c r="G76" s="18"/>
    </row>
    <row r="77" spans="1:11" ht="30" x14ac:dyDescent="0.25">
      <c r="C77" s="19" t="s">
        <v>55</v>
      </c>
      <c r="D77" s="65" t="s">
        <v>204</v>
      </c>
      <c r="E77" s="65" t="s">
        <v>205</v>
      </c>
      <c r="F77" s="65" t="s">
        <v>206</v>
      </c>
    </row>
    <row r="78" spans="1:11" x14ac:dyDescent="0.25">
      <c r="C78" s="20"/>
      <c r="H78" s="21"/>
    </row>
    <row r="79" spans="1:11" x14ac:dyDescent="0.25">
      <c r="C79" s="13" t="s">
        <v>56</v>
      </c>
      <c r="D79" s="14"/>
      <c r="H79" s="21"/>
    </row>
    <row r="80" spans="1:11" ht="45" x14ac:dyDescent="0.25">
      <c r="C80" s="22" t="s">
        <v>57</v>
      </c>
      <c r="D80" s="23" t="s">
        <v>58</v>
      </c>
      <c r="E80" s="23" t="s">
        <v>59</v>
      </c>
      <c r="F80" s="24" t="s">
        <v>60</v>
      </c>
    </row>
    <row r="81" spans="3:6" x14ac:dyDescent="0.25">
      <c r="C81" s="25" t="s">
        <v>15</v>
      </c>
      <c r="D81" s="26">
        <v>509</v>
      </c>
      <c r="E81" s="26">
        <v>836</v>
      </c>
      <c r="F81" s="27">
        <v>400</v>
      </c>
    </row>
    <row r="82" spans="3:6" x14ac:dyDescent="0.25">
      <c r="C82" s="28" t="s">
        <v>61</v>
      </c>
      <c r="D82" s="29">
        <v>631</v>
      </c>
      <c r="E82" s="29">
        <v>1094</v>
      </c>
      <c r="F82" s="30"/>
    </row>
    <row r="83" spans="3:6" x14ac:dyDescent="0.25">
      <c r="C83" s="25" t="s">
        <v>62</v>
      </c>
      <c r="D83" s="29">
        <v>1939</v>
      </c>
      <c r="E83" s="29">
        <v>2766</v>
      </c>
      <c r="F83" s="31"/>
    </row>
    <row r="84" spans="3:6" x14ac:dyDescent="0.25">
      <c r="C84" s="25" t="s">
        <v>63</v>
      </c>
      <c r="D84" s="29">
        <v>2209</v>
      </c>
      <c r="E84" s="29">
        <v>2955</v>
      </c>
      <c r="F84" s="31"/>
    </row>
    <row r="85" spans="3:6" x14ac:dyDescent="0.25">
      <c r="C85" s="25" t="s">
        <v>64</v>
      </c>
      <c r="D85" s="32"/>
      <c r="E85" s="29">
        <v>16891</v>
      </c>
      <c r="F85" s="31"/>
    </row>
    <row r="86" spans="3:6" x14ac:dyDescent="0.25">
      <c r="C86" s="25" t="s">
        <v>65</v>
      </c>
      <c r="D86" s="32"/>
      <c r="E86" s="29">
        <v>18775</v>
      </c>
      <c r="F86" s="31"/>
    </row>
    <row r="87" spans="3:6" x14ac:dyDescent="0.25">
      <c r="C87" s="66" t="s">
        <v>66</v>
      </c>
      <c r="D87" s="32"/>
      <c r="E87" s="29">
        <v>23217</v>
      </c>
      <c r="F87" s="31"/>
    </row>
    <row r="88" spans="3:6" x14ac:dyDescent="0.25">
      <c r="C88" s="25" t="s">
        <v>67</v>
      </c>
      <c r="D88" s="32"/>
      <c r="E88" s="29">
        <v>24745</v>
      </c>
      <c r="F88" s="31"/>
    </row>
    <row r="89" spans="3:6" x14ac:dyDescent="0.25">
      <c r="C89" s="66" t="s">
        <v>68</v>
      </c>
      <c r="D89" s="32"/>
      <c r="E89" s="29">
        <v>28809</v>
      </c>
      <c r="F89" s="31"/>
    </row>
    <row r="90" spans="3:6" x14ac:dyDescent="0.25">
      <c r="C90" s="66" t="s">
        <v>69</v>
      </c>
      <c r="D90" s="32"/>
      <c r="E90" s="29">
        <v>29164</v>
      </c>
      <c r="F90" s="31"/>
    </row>
    <row r="91" spans="3:6" x14ac:dyDescent="0.25">
      <c r="C91" s="66" t="s">
        <v>202</v>
      </c>
      <c r="D91" s="32"/>
      <c r="E91" s="29">
        <v>34751</v>
      </c>
      <c r="F91" s="31"/>
    </row>
    <row r="92" spans="3:6" x14ac:dyDescent="0.25">
      <c r="C92" s="33" t="s">
        <v>70</v>
      </c>
      <c r="D92" s="34"/>
      <c r="E92" s="35"/>
      <c r="F92" s="36"/>
    </row>
    <row r="93" spans="3:6" x14ac:dyDescent="0.25">
      <c r="C93" s="33"/>
      <c r="D93" s="34"/>
      <c r="E93" s="35"/>
      <c r="F93" s="36"/>
    </row>
    <row r="94" spans="3:6" x14ac:dyDescent="0.25">
      <c r="C94" s="13" t="s">
        <v>71</v>
      </c>
      <c r="E94" s="35"/>
      <c r="F94" s="36"/>
    </row>
    <row r="95" spans="3:6" x14ac:dyDescent="0.25">
      <c r="C95" s="37" t="s">
        <v>72</v>
      </c>
      <c r="D95" s="38"/>
      <c r="E95" s="23" t="s">
        <v>73</v>
      </c>
      <c r="F95" s="36"/>
    </row>
    <row r="96" spans="3:6" x14ac:dyDescent="0.25">
      <c r="C96" s="39" t="s">
        <v>74</v>
      </c>
      <c r="D96" s="38"/>
      <c r="E96" s="26">
        <v>121</v>
      </c>
      <c r="F96" s="36"/>
    </row>
    <row r="97" spans="1:11" x14ac:dyDescent="0.25">
      <c r="C97" s="40" t="s">
        <v>75</v>
      </c>
      <c r="D97" s="38"/>
      <c r="E97" s="29">
        <v>1480</v>
      </c>
      <c r="F97" s="36"/>
    </row>
    <row r="98" spans="1:11" x14ac:dyDescent="0.25">
      <c r="C98" s="41" t="s">
        <v>76</v>
      </c>
      <c r="D98" s="38"/>
      <c r="E98" s="29">
        <v>1480</v>
      </c>
      <c r="F98" s="36"/>
    </row>
    <row r="100" spans="1:11" s="20" customFormat="1" x14ac:dyDescent="0.25">
      <c r="A100" s="43"/>
      <c r="B100" s="42" t="s">
        <v>77</v>
      </c>
      <c r="C100" s="43"/>
      <c r="D100" s="44"/>
      <c r="E100" s="43"/>
      <c r="F100" s="45"/>
      <c r="G100" s="43"/>
      <c r="H100" s="45"/>
      <c r="I100" s="43"/>
      <c r="J100" s="45"/>
      <c r="K100" s="43"/>
    </row>
    <row r="101" spans="1:11" x14ac:dyDescent="0.25">
      <c r="C101" s="13"/>
      <c r="E101" s="46"/>
    </row>
    <row r="102" spans="1:11" ht="75" x14ac:dyDescent="0.25">
      <c r="C102" s="15" t="s">
        <v>49</v>
      </c>
      <c r="D102" s="15" t="s">
        <v>78</v>
      </c>
      <c r="E102" s="15" t="s">
        <v>79</v>
      </c>
      <c r="F102" s="15" t="s">
        <v>80</v>
      </c>
    </row>
    <row r="103" spans="1:11" ht="45" x14ac:dyDescent="0.25">
      <c r="C103" s="16" t="s">
        <v>81</v>
      </c>
      <c r="D103" s="17">
        <v>920</v>
      </c>
      <c r="E103" s="17">
        <v>3160</v>
      </c>
      <c r="F103" s="47">
        <v>4080</v>
      </c>
      <c r="H103" s="18"/>
    </row>
    <row r="104" spans="1:11" ht="32.25" x14ac:dyDescent="0.25">
      <c r="C104" s="16" t="s">
        <v>54</v>
      </c>
      <c r="D104" s="17">
        <v>598</v>
      </c>
      <c r="E104" s="17">
        <v>2054</v>
      </c>
      <c r="F104" s="17">
        <v>2652</v>
      </c>
      <c r="H104" s="18"/>
    </row>
    <row r="105" spans="1:11" ht="32.25" x14ac:dyDescent="0.25">
      <c r="C105" s="16" t="s">
        <v>201</v>
      </c>
      <c r="D105" s="17">
        <v>329</v>
      </c>
      <c r="E105" s="17">
        <v>1129</v>
      </c>
      <c r="F105" s="17">
        <v>1458</v>
      </c>
      <c r="H105" s="18"/>
    </row>
    <row r="106" spans="1:11" ht="30" x14ac:dyDescent="0.25">
      <c r="C106" s="19" t="s">
        <v>55</v>
      </c>
      <c r="D106" s="19" t="s">
        <v>203</v>
      </c>
      <c r="E106" s="19" t="s">
        <v>207</v>
      </c>
      <c r="F106" s="19" t="s">
        <v>208</v>
      </c>
      <c r="H106" s="4"/>
    </row>
    <row r="107" spans="1:11" x14ac:dyDescent="0.25">
      <c r="C107" s="48"/>
      <c r="D107" s="48"/>
      <c r="E107" s="48"/>
      <c r="F107" s="48"/>
      <c r="H107" s="4"/>
    </row>
    <row r="108" spans="1:11" x14ac:dyDescent="0.25">
      <c r="A108" s="122"/>
      <c r="B108" s="123" t="s">
        <v>82</v>
      </c>
      <c r="C108" s="124"/>
      <c r="D108" s="124"/>
      <c r="E108" s="124"/>
      <c r="F108" s="124"/>
      <c r="G108" s="122"/>
      <c r="H108" s="125"/>
      <c r="I108" s="122"/>
      <c r="J108" s="125"/>
      <c r="K108" s="122"/>
    </row>
    <row r="109" spans="1:11" x14ac:dyDescent="0.25">
      <c r="C109" s="54"/>
      <c r="F109" s="4"/>
    </row>
    <row r="110" spans="1:11" x14ac:dyDescent="0.25">
      <c r="C110" s="13" t="s">
        <v>83</v>
      </c>
      <c r="F110" s="4"/>
      <c r="H110" s="4"/>
      <c r="J110" s="4"/>
    </row>
    <row r="111" spans="1:11" x14ac:dyDescent="0.25">
      <c r="C111" s="50" t="s">
        <v>14</v>
      </c>
      <c r="D111" s="51">
        <v>940</v>
      </c>
      <c r="F111" s="4"/>
      <c r="H111" s="4"/>
      <c r="J111" s="4"/>
    </row>
    <row r="112" spans="1:11" x14ac:dyDescent="0.25">
      <c r="C112" s="50" t="s">
        <v>17</v>
      </c>
      <c r="D112" s="51">
        <v>1690</v>
      </c>
      <c r="F112" s="4"/>
      <c r="H112" s="4"/>
      <c r="J112" s="4"/>
    </row>
    <row r="113" spans="3:10" x14ac:dyDescent="0.25">
      <c r="F113" s="4"/>
      <c r="H113" s="4"/>
      <c r="J113" s="4"/>
    </row>
    <row r="114" spans="3:10" x14ac:dyDescent="0.25">
      <c r="C114" s="13" t="s">
        <v>84</v>
      </c>
      <c r="F114" s="4"/>
      <c r="H114" s="4"/>
      <c r="J114" s="4"/>
    </row>
    <row r="115" spans="3:10" x14ac:dyDescent="0.25">
      <c r="C115" s="50" t="s">
        <v>14</v>
      </c>
      <c r="D115" s="52">
        <v>3.04</v>
      </c>
      <c r="E115" s="50" t="s">
        <v>85</v>
      </c>
      <c r="F115" s="129"/>
      <c r="G115" s="129"/>
      <c r="H115" s="4"/>
      <c r="J115" s="4"/>
    </row>
    <row r="116" spans="3:10" x14ac:dyDescent="0.25">
      <c r="C116" s="50" t="s">
        <v>17</v>
      </c>
      <c r="D116" s="52">
        <v>7.5</v>
      </c>
      <c r="E116" s="50" t="s">
        <v>85</v>
      </c>
      <c r="F116" s="129"/>
      <c r="G116" s="129"/>
      <c r="H116" s="4"/>
      <c r="J116" s="4"/>
    </row>
    <row r="117" spans="3:10" x14ac:dyDescent="0.25">
      <c r="F117" s="4"/>
      <c r="H117" s="4"/>
      <c r="J117" s="4"/>
    </row>
    <row r="118" spans="3:10" x14ac:dyDescent="0.25">
      <c r="C118" s="13" t="s">
        <v>86</v>
      </c>
      <c r="F118" s="4"/>
      <c r="I118" s="5"/>
    </row>
    <row r="119" spans="3:10" x14ac:dyDescent="0.25">
      <c r="C119" s="53" t="s">
        <v>87</v>
      </c>
      <c r="D119" s="53" t="s">
        <v>88</v>
      </c>
      <c r="E119" s="54"/>
      <c r="F119" s="4"/>
    </row>
    <row r="120" spans="3:10" x14ac:dyDescent="0.25">
      <c r="C120" s="55" t="s">
        <v>89</v>
      </c>
      <c r="D120" s="56">
        <v>1290</v>
      </c>
      <c r="F120" s="4"/>
    </row>
    <row r="121" spans="3:10" x14ac:dyDescent="0.25">
      <c r="C121" s="55" t="s">
        <v>63</v>
      </c>
      <c r="D121" s="56">
        <v>1960</v>
      </c>
      <c r="F121" s="71"/>
    </row>
    <row r="122" spans="3:10" x14ac:dyDescent="0.25">
      <c r="C122" s="55" t="s">
        <v>65</v>
      </c>
      <c r="D122" s="56">
        <v>4650</v>
      </c>
      <c r="E122" s="140"/>
      <c r="F122" s="71"/>
    </row>
    <row r="123" spans="3:10" x14ac:dyDescent="0.25">
      <c r="C123" s="55" t="s">
        <v>67</v>
      </c>
      <c r="D123" s="56">
        <v>4820</v>
      </c>
      <c r="F123" s="72"/>
    </row>
    <row r="124" spans="3:10" x14ac:dyDescent="0.25">
      <c r="C124" s="55" t="s">
        <v>69</v>
      </c>
      <c r="D124" s="56">
        <v>5990</v>
      </c>
      <c r="F124" s="72"/>
    </row>
    <row r="125" spans="3:10" x14ac:dyDescent="0.25">
      <c r="C125" s="55" t="s">
        <v>90</v>
      </c>
      <c r="D125" s="56">
        <v>8230</v>
      </c>
      <c r="F125" s="72"/>
    </row>
    <row r="126" spans="3:10" x14ac:dyDescent="0.25">
      <c r="C126" s="69"/>
      <c r="D126" s="70"/>
      <c r="F126" s="72"/>
    </row>
    <row r="127" spans="3:10" x14ac:dyDescent="0.25">
      <c r="C127" s="13" t="s">
        <v>91</v>
      </c>
      <c r="F127" s="4"/>
      <c r="G127" s="13"/>
      <c r="H127" s="4"/>
    </row>
    <row r="128" spans="3:10" x14ac:dyDescent="0.25">
      <c r="C128" s="60" t="s">
        <v>92</v>
      </c>
      <c r="D128" s="38"/>
      <c r="E128" s="22" t="s">
        <v>14</v>
      </c>
      <c r="F128" s="22" t="s">
        <v>93</v>
      </c>
      <c r="G128" s="60" t="s">
        <v>94</v>
      </c>
      <c r="H128" s="38"/>
    </row>
    <row r="129" spans="1:11" ht="17.25" x14ac:dyDescent="0.25">
      <c r="C129" s="73" t="s">
        <v>95</v>
      </c>
      <c r="D129" s="38"/>
      <c r="E129" s="52">
        <v>1.25</v>
      </c>
      <c r="F129" s="52">
        <v>1.27</v>
      </c>
      <c r="G129" s="101" t="s">
        <v>96</v>
      </c>
      <c r="H129" s="38"/>
    </row>
    <row r="130" spans="1:11" x14ac:dyDescent="0.25">
      <c r="C130" s="73" t="s">
        <v>97</v>
      </c>
      <c r="D130" s="38"/>
      <c r="E130" s="52">
        <v>497.59</v>
      </c>
      <c r="F130" s="52">
        <v>505.87</v>
      </c>
      <c r="G130" s="101" t="s">
        <v>98</v>
      </c>
      <c r="H130" s="38"/>
    </row>
    <row r="131" spans="1:11" ht="17.25" x14ac:dyDescent="0.25">
      <c r="C131" s="73" t="s">
        <v>99</v>
      </c>
      <c r="D131" s="38"/>
      <c r="E131" s="52">
        <v>1.49</v>
      </c>
      <c r="F131" s="52">
        <v>1.52</v>
      </c>
      <c r="G131" s="101" t="s">
        <v>96</v>
      </c>
      <c r="H131" s="38"/>
    </row>
    <row r="132" spans="1:11" x14ac:dyDescent="0.25">
      <c r="C132" s="73" t="s">
        <v>100</v>
      </c>
      <c r="D132" s="38"/>
      <c r="E132" s="52">
        <v>348.32</v>
      </c>
      <c r="F132" s="52">
        <v>354.11</v>
      </c>
      <c r="G132" s="102" t="s">
        <v>101</v>
      </c>
      <c r="H132" s="38"/>
    </row>
    <row r="133" spans="1:11" ht="17.25" x14ac:dyDescent="0.25">
      <c r="C133" s="73" t="s">
        <v>102</v>
      </c>
      <c r="D133" s="38"/>
      <c r="E133" s="52">
        <v>0.74</v>
      </c>
      <c r="F133" s="52">
        <v>0.76</v>
      </c>
      <c r="G133" s="101" t="s">
        <v>96</v>
      </c>
      <c r="H133" s="38"/>
    </row>
    <row r="134" spans="1:11" ht="17.25" x14ac:dyDescent="0.25">
      <c r="C134" s="73" t="s">
        <v>103</v>
      </c>
      <c r="D134" s="38"/>
      <c r="E134" s="52">
        <v>0.74</v>
      </c>
      <c r="F134" s="52" t="s">
        <v>104</v>
      </c>
      <c r="G134" s="101" t="s">
        <v>96</v>
      </c>
      <c r="H134" s="38"/>
    </row>
    <row r="135" spans="1:11" x14ac:dyDescent="0.25">
      <c r="F135" s="72"/>
    </row>
    <row r="136" spans="1:11" s="20" customFormat="1" x14ac:dyDescent="0.25">
      <c r="A136" s="57"/>
      <c r="B136" s="49" t="s">
        <v>105</v>
      </c>
      <c r="C136" s="57"/>
      <c r="D136" s="58"/>
      <c r="E136" s="57"/>
      <c r="F136" s="59"/>
      <c r="G136" s="57"/>
      <c r="H136" s="59"/>
      <c r="I136" s="57"/>
      <c r="J136" s="59"/>
      <c r="K136" s="57"/>
    </row>
    <row r="138" spans="1:11" x14ac:dyDescent="0.25">
      <c r="C138" s="60" t="s">
        <v>106</v>
      </c>
      <c r="D138" s="61"/>
      <c r="E138" s="61"/>
      <c r="F138" s="61"/>
      <c r="G138" s="38"/>
      <c r="H138" s="63" t="s">
        <v>107</v>
      </c>
      <c r="I138" s="62" t="s">
        <v>108</v>
      </c>
      <c r="J138" s="61"/>
      <c r="K138" s="38"/>
    </row>
    <row r="139" spans="1:11" x14ac:dyDescent="0.25">
      <c r="C139" s="13"/>
      <c r="F139" s="4"/>
      <c r="H139" s="109"/>
      <c r="J139" s="4"/>
    </row>
    <row r="140" spans="1:11" x14ac:dyDescent="0.25">
      <c r="C140" s="112" t="s">
        <v>109</v>
      </c>
    </row>
    <row r="141" spans="1:11" x14ac:dyDescent="0.25">
      <c r="C141" s="62" t="s">
        <v>110</v>
      </c>
      <c r="D141" s="61"/>
      <c r="E141" s="61"/>
      <c r="F141" s="61"/>
      <c r="G141" s="38"/>
      <c r="H141" s="107">
        <v>1.0911272384037392E-2</v>
      </c>
    </row>
    <row r="142" spans="1:11" x14ac:dyDescent="0.25">
      <c r="C142" s="62" t="s">
        <v>111</v>
      </c>
      <c r="D142" s="61"/>
      <c r="E142" s="61"/>
      <c r="F142" s="61"/>
      <c r="G142" s="38"/>
      <c r="H142" s="107">
        <v>0.36916606313889844</v>
      </c>
    </row>
    <row r="143" spans="1:11" x14ac:dyDescent="0.25">
      <c r="C143" s="62" t="s">
        <v>112</v>
      </c>
      <c r="D143" s="61"/>
      <c r="E143" s="61"/>
      <c r="F143" s="74"/>
      <c r="G143" s="38"/>
      <c r="H143" s="107">
        <v>0.25990000000000002</v>
      </c>
    </row>
    <row r="144" spans="1:11" x14ac:dyDescent="0.25">
      <c r="C144" s="62" t="s">
        <v>113</v>
      </c>
      <c r="D144" s="61"/>
      <c r="E144" s="61"/>
      <c r="F144" s="74"/>
      <c r="G144" s="38"/>
      <c r="H144" s="107">
        <v>3.5478477905406286E-2</v>
      </c>
    </row>
    <row r="145" spans="3:10" x14ac:dyDescent="0.25">
      <c r="C145" s="62" t="s">
        <v>114</v>
      </c>
      <c r="D145" s="61"/>
      <c r="E145" s="61"/>
      <c r="F145" s="74"/>
      <c r="G145" s="38"/>
      <c r="H145" s="107">
        <v>0.33430892667911388</v>
      </c>
    </row>
    <row r="146" spans="3:10" x14ac:dyDescent="0.25">
      <c r="C146" s="62" t="s">
        <v>115</v>
      </c>
      <c r="D146" s="61"/>
      <c r="E146" s="61"/>
      <c r="F146" s="74"/>
      <c r="G146" s="38"/>
      <c r="H146" s="107">
        <v>3.4902513496910245E-2</v>
      </c>
    </row>
    <row r="147" spans="3:10" x14ac:dyDescent="0.25">
      <c r="C147" s="62" t="s">
        <v>116</v>
      </c>
      <c r="D147" s="61"/>
      <c r="E147" s="61"/>
      <c r="F147" s="74"/>
      <c r="G147" s="38"/>
      <c r="H147" s="107">
        <v>5.7305595081983719E-2</v>
      </c>
    </row>
    <row r="148" spans="3:10" x14ac:dyDescent="0.25">
      <c r="F148" s="4"/>
      <c r="H148" s="4"/>
    </row>
    <row r="149" spans="3:10" x14ac:dyDescent="0.25">
      <c r="C149" s="112" t="s">
        <v>117</v>
      </c>
    </row>
    <row r="150" spans="3:10" x14ac:dyDescent="0.25">
      <c r="C150" s="62" t="s">
        <v>118</v>
      </c>
      <c r="D150" s="61"/>
      <c r="E150" s="61"/>
      <c r="F150" s="61"/>
      <c r="G150" s="38"/>
      <c r="H150" s="107">
        <v>1.8440851898706631E-2</v>
      </c>
    </row>
    <row r="151" spans="3:10" x14ac:dyDescent="0.25">
      <c r="C151" s="62" t="s">
        <v>12</v>
      </c>
      <c r="D151" s="61"/>
      <c r="E151" s="61"/>
      <c r="F151" s="61"/>
      <c r="G151" s="38"/>
      <c r="H151" s="107">
        <v>1.0615332337770451</v>
      </c>
    </row>
    <row r="152" spans="3:10" x14ac:dyDescent="0.25">
      <c r="C152" s="62" t="s">
        <v>119</v>
      </c>
      <c r="D152" s="61"/>
      <c r="E152" s="61"/>
      <c r="F152" s="61"/>
      <c r="G152" s="38"/>
      <c r="H152" s="107">
        <v>3.326168153081846E-2</v>
      </c>
    </row>
    <row r="153" spans="3:10" x14ac:dyDescent="0.25">
      <c r="C153" s="62" t="s">
        <v>120</v>
      </c>
      <c r="D153" s="61"/>
      <c r="E153" s="61"/>
      <c r="F153" s="61"/>
      <c r="G153" s="38"/>
      <c r="H153" s="107">
        <v>1.7000000000000001E-2</v>
      </c>
    </row>
    <row r="154" spans="3:10" x14ac:dyDescent="0.25">
      <c r="C154" s="62" t="s">
        <v>121</v>
      </c>
      <c r="D154" s="61"/>
      <c r="E154" s="61"/>
      <c r="F154" s="61"/>
      <c r="G154" s="38"/>
      <c r="H154" s="107">
        <v>9.8999953277344205E-2</v>
      </c>
    </row>
    <row r="155" spans="3:10" x14ac:dyDescent="0.25">
      <c r="C155" s="62" t="s">
        <v>122</v>
      </c>
      <c r="D155" s="61"/>
      <c r="E155" s="61"/>
      <c r="F155" s="74"/>
      <c r="G155" s="38"/>
      <c r="H155" s="107">
        <v>7.2371455819145059E-2</v>
      </c>
    </row>
    <row r="156" spans="3:10" x14ac:dyDescent="0.25">
      <c r="C156" s="62" t="s">
        <v>123</v>
      </c>
      <c r="D156" s="61"/>
      <c r="E156" s="61"/>
      <c r="F156" s="74"/>
      <c r="G156" s="38"/>
      <c r="H156" s="107">
        <v>4.1717440714168351E-2</v>
      </c>
    </row>
    <row r="157" spans="3:10" x14ac:dyDescent="0.25">
      <c r="C157" s="62" t="s">
        <v>124</v>
      </c>
      <c r="D157" s="61"/>
      <c r="E157" s="61"/>
      <c r="F157" s="74"/>
      <c r="G157" s="38"/>
      <c r="H157" s="107">
        <v>0.13493333333333332</v>
      </c>
    </row>
    <row r="158" spans="3:10" x14ac:dyDescent="0.25">
      <c r="C158" s="62" t="s">
        <v>125</v>
      </c>
      <c r="D158" s="61"/>
      <c r="E158" s="61"/>
      <c r="F158" s="74"/>
      <c r="G158" s="38"/>
      <c r="H158" s="108">
        <v>2.1534500000000002E-2</v>
      </c>
      <c r="J158" s="4"/>
    </row>
    <row r="159" spans="3:10" x14ac:dyDescent="0.25">
      <c r="C159" s="62" t="s">
        <v>126</v>
      </c>
      <c r="D159" s="61"/>
      <c r="E159" s="61"/>
      <c r="F159" s="74"/>
      <c r="G159" s="38"/>
      <c r="H159" s="107">
        <v>6.0206219348241927E-2</v>
      </c>
      <c r="J159" s="4"/>
    </row>
    <row r="160" spans="3:10" x14ac:dyDescent="0.25">
      <c r="C160" s="62" t="s">
        <v>127</v>
      </c>
      <c r="D160" s="61"/>
      <c r="E160" s="61"/>
      <c r="F160" s="74"/>
      <c r="G160" s="38"/>
      <c r="H160" s="107">
        <v>0.15823727399994045</v>
      </c>
      <c r="J160" s="4"/>
    </row>
    <row r="161" spans="3:10" x14ac:dyDescent="0.25">
      <c r="C161" s="62" t="s">
        <v>128</v>
      </c>
      <c r="D161" s="61"/>
      <c r="E161" s="61"/>
      <c r="F161" s="74"/>
      <c r="G161" s="38"/>
      <c r="H161" s="107">
        <v>1.757988482311779E-2</v>
      </c>
    </row>
    <row r="162" spans="3:10" x14ac:dyDescent="0.25">
      <c r="C162" s="62" t="s">
        <v>129</v>
      </c>
      <c r="D162" s="61"/>
      <c r="E162" s="61"/>
      <c r="F162" s="61"/>
      <c r="G162" s="38"/>
      <c r="H162" s="107">
        <v>2.81104661935614E-2</v>
      </c>
    </row>
    <row r="163" spans="3:10" x14ac:dyDescent="0.25">
      <c r="C163" s="62" t="s">
        <v>130</v>
      </c>
      <c r="D163" s="61"/>
      <c r="E163" s="61"/>
      <c r="F163" s="74"/>
      <c r="G163" s="38"/>
      <c r="H163" s="107">
        <v>0.10716814586535132</v>
      </c>
    </row>
    <row r="164" spans="3:10" x14ac:dyDescent="0.25">
      <c r="C164" s="62" t="s">
        <v>131</v>
      </c>
      <c r="D164" s="61"/>
      <c r="E164" s="61"/>
      <c r="F164" s="74"/>
      <c r="G164" s="38"/>
      <c r="H164" s="107">
        <v>7.4946551947176754E-2</v>
      </c>
    </row>
    <row r="165" spans="3:10" x14ac:dyDescent="0.25">
      <c r="C165" s="62" t="s">
        <v>132</v>
      </c>
      <c r="D165" s="61"/>
      <c r="E165" s="61"/>
      <c r="F165" s="74"/>
      <c r="G165" s="38"/>
      <c r="H165" s="107">
        <v>1.7938275910055592E-3</v>
      </c>
    </row>
    <row r="166" spans="3:10" x14ac:dyDescent="0.25">
      <c r="C166" s="62" t="s">
        <v>133</v>
      </c>
      <c r="D166" s="61"/>
      <c r="E166" s="61"/>
      <c r="F166" s="74"/>
      <c r="G166" s="38"/>
      <c r="H166" s="107">
        <v>4.6487358202944667E-2</v>
      </c>
    </row>
    <row r="167" spans="3:10" x14ac:dyDescent="0.25">
      <c r="C167" s="62" t="s">
        <v>134</v>
      </c>
      <c r="D167" s="61"/>
      <c r="E167" s="61"/>
      <c r="F167" s="74"/>
      <c r="G167" s="38"/>
      <c r="H167" s="107">
        <v>4.4764727016631062E-2</v>
      </c>
    </row>
    <row r="168" spans="3:10" x14ac:dyDescent="0.25">
      <c r="H168" s="21"/>
    </row>
    <row r="169" spans="3:10" x14ac:dyDescent="0.25">
      <c r="C169" s="113" t="s">
        <v>135</v>
      </c>
      <c r="F169" s="4"/>
      <c r="H169" s="4"/>
    </row>
    <row r="170" spans="3:10" x14ac:dyDescent="0.25">
      <c r="C170" s="62" t="s">
        <v>136</v>
      </c>
      <c r="D170" s="61"/>
      <c r="E170" s="61"/>
      <c r="F170" s="61"/>
      <c r="G170" s="38"/>
      <c r="H170" s="107">
        <v>0.65427027428344198</v>
      </c>
    </row>
    <row r="171" spans="3:10" x14ac:dyDescent="0.25">
      <c r="C171" s="62" t="s">
        <v>137</v>
      </c>
      <c r="D171" s="61"/>
      <c r="E171" s="61"/>
      <c r="F171" s="74"/>
      <c r="G171" s="38"/>
      <c r="H171" s="107">
        <v>4.1614963227505221E-2</v>
      </c>
    </row>
    <row r="172" spans="3:10" x14ac:dyDescent="0.25">
      <c r="C172" s="62" t="s">
        <v>138</v>
      </c>
      <c r="D172" s="61"/>
      <c r="E172" s="61"/>
      <c r="F172" s="74"/>
      <c r="G172" s="38"/>
      <c r="H172" s="107">
        <v>0.18530352001843775</v>
      </c>
      <c r="J172" s="4"/>
    </row>
    <row r="173" spans="3:10" x14ac:dyDescent="0.25">
      <c r="C173" s="62" t="s">
        <v>139</v>
      </c>
      <c r="D173" s="61"/>
      <c r="E173" s="61"/>
      <c r="F173" s="74"/>
      <c r="G173" s="38"/>
      <c r="H173" s="107">
        <v>1.79070970697746E-2</v>
      </c>
    </row>
    <row r="174" spans="3:10" x14ac:dyDescent="0.25">
      <c r="C174" s="62" t="s">
        <v>140</v>
      </c>
      <c r="D174" s="61"/>
      <c r="E174" s="61"/>
      <c r="F174" s="74"/>
      <c r="G174" s="38"/>
      <c r="H174" s="107">
        <v>7.3072943038508864E-2</v>
      </c>
    </row>
    <row r="175" spans="3:10" x14ac:dyDescent="0.25">
      <c r="C175" s="62" t="s">
        <v>141</v>
      </c>
      <c r="D175" s="61"/>
      <c r="E175" s="61"/>
      <c r="F175" s="74"/>
      <c r="G175" s="38"/>
      <c r="H175" s="107">
        <v>5.5391329223623914E-2</v>
      </c>
    </row>
    <row r="176" spans="3:10" x14ac:dyDescent="0.25">
      <c r="C176" s="62" t="s">
        <v>142</v>
      </c>
      <c r="D176" s="61"/>
      <c r="E176" s="61"/>
      <c r="F176" s="74"/>
      <c r="G176" s="38"/>
      <c r="H176" s="107">
        <v>1.4058744872950776E-2</v>
      </c>
    </row>
    <row r="177" spans="3:10" x14ac:dyDescent="0.25">
      <c r="C177" s="62" t="s">
        <v>143</v>
      </c>
      <c r="D177" s="61"/>
      <c r="E177" s="61"/>
      <c r="F177" s="74"/>
      <c r="G177" s="38"/>
      <c r="H177" s="107">
        <v>2.1186440677966101E-2</v>
      </c>
    </row>
    <row r="178" spans="3:10" x14ac:dyDescent="0.25">
      <c r="F178" s="4"/>
      <c r="H178" s="4"/>
    </row>
    <row r="179" spans="3:10" x14ac:dyDescent="0.25">
      <c r="F179" s="4"/>
      <c r="H179" s="4"/>
    </row>
    <row r="180" spans="3:10" x14ac:dyDescent="0.25">
      <c r="F180" s="4"/>
      <c r="H180" s="4"/>
    </row>
    <row r="181" spans="3:10" x14ac:dyDescent="0.25">
      <c r="F181" s="4"/>
      <c r="H181" s="4"/>
    </row>
    <row r="182" spans="3:10" x14ac:dyDescent="0.25">
      <c r="F182" s="4"/>
      <c r="H182" s="4"/>
      <c r="J182" s="4"/>
    </row>
    <row r="183" spans="3:10" x14ac:dyDescent="0.25">
      <c r="F183" s="4"/>
      <c r="H183" s="4"/>
    </row>
    <row r="184" spans="3:10" x14ac:dyDescent="0.25">
      <c r="F184" s="4"/>
      <c r="H184" s="4"/>
    </row>
    <row r="185" spans="3:10" x14ac:dyDescent="0.25">
      <c r="F185" s="4"/>
      <c r="H185" s="4"/>
      <c r="J185" s="4"/>
    </row>
    <row r="187" spans="3:10" x14ac:dyDescent="0.25">
      <c r="F187" s="4"/>
      <c r="H187" s="4"/>
      <c r="J187" s="4"/>
    </row>
    <row r="188" spans="3:10" x14ac:dyDescent="0.25">
      <c r="F188" s="4"/>
      <c r="H188" s="4"/>
      <c r="J188" s="4"/>
    </row>
    <row r="189" spans="3:10" x14ac:dyDescent="0.25">
      <c r="F189" s="4"/>
      <c r="H189" s="4"/>
    </row>
    <row r="190" spans="3:10" x14ac:dyDescent="0.25">
      <c r="F190" s="4"/>
      <c r="H190" s="4"/>
    </row>
    <row r="191" spans="3:10" x14ac:dyDescent="0.25">
      <c r="F191" s="4"/>
      <c r="H191" s="4"/>
    </row>
    <row r="192" spans="3:10" x14ac:dyDescent="0.25">
      <c r="F192" s="4"/>
      <c r="H192" s="4"/>
    </row>
    <row r="193" spans="6:10" x14ac:dyDescent="0.25">
      <c r="F193" s="4"/>
      <c r="H193" s="4"/>
    </row>
    <row r="194" spans="6:10" x14ac:dyDescent="0.25">
      <c r="F194" s="4"/>
      <c r="H194" s="4"/>
    </row>
    <row r="195" spans="6:10" x14ac:dyDescent="0.25">
      <c r="F195" s="4"/>
      <c r="H195" s="4"/>
    </row>
    <row r="196" spans="6:10" x14ac:dyDescent="0.25">
      <c r="F196" s="4"/>
      <c r="H196" s="4"/>
    </row>
    <row r="197" spans="6:10" x14ac:dyDescent="0.25">
      <c r="F197" s="4"/>
      <c r="H197" s="4"/>
    </row>
    <row r="198" spans="6:10" x14ac:dyDescent="0.25">
      <c r="F198" s="4"/>
      <c r="H198" s="4"/>
      <c r="J198" s="4"/>
    </row>
  </sheetData>
  <sheetProtection selectLockedCells="1"/>
  <protectedRanges>
    <protectedRange sqref="C6:C8 H14 H12 H22:H23 D25 F18:F19 H18:H19 C18:C20 F40:F45 E36:E37 D40:D45 C22:C23 F22:F23 F26:F32 D29:D32 H26:H28 C12:C14 F12:F14" name="Range1"/>
  </protectedRanges>
  <sortState xmlns:xlrd2="http://schemas.microsoft.com/office/spreadsheetml/2017/richdata2" ref="C155:H162">
    <sortCondition ref="C155:C162"/>
  </sortState>
  <mergeCells count="5">
    <mergeCell ref="B64:G64"/>
    <mergeCell ref="B54:F54"/>
    <mergeCell ref="B61:F61"/>
    <mergeCell ref="B49:G49"/>
    <mergeCell ref="B55:G55"/>
  </mergeCells>
  <phoneticPr fontId="43" type="noConversion"/>
  <dataValidations count="5">
    <dataValidation type="list" allowBlank="1" showInputMessage="1" showErrorMessage="1" sqref="E36:E37 H12 C6:C8 C18 C13:C14 D40:D45 C20 C22:C23" xr:uid="{00000000-0002-0000-0000-000000000000}">
      <formula1>Checklist</formula1>
    </dataValidation>
    <dataValidation type="list" allowBlank="1" showInputMessage="1" showErrorMessage="1" sqref="H22:H23 H18:H19" xr:uid="{00000000-0002-0000-0000-000001000000}">
      <formula1>MeterInstallType</formula1>
    </dataValidation>
    <dataValidation type="list" showInputMessage="1" showErrorMessage="1" sqref="F14" xr:uid="{00000000-0002-0000-0000-000002000000}">
      <formula1>$C$140:$C$177</formula1>
    </dataValidation>
    <dataValidation type="list" allowBlank="1" showInputMessage="1" showErrorMessage="1" sqref="D25" xr:uid="{00000000-0002-0000-0000-000003000000}">
      <formula1>InspectionFees</formula1>
    </dataValidation>
    <dataValidation type="list" allowBlank="1" showInputMessage="1" showErrorMessage="1" sqref="F18 F22" xr:uid="{00000000-0002-0000-0000-000004000000}">
      <formula1>$C$81:$C$91</formula1>
    </dataValidation>
  </dataValidations>
  <pageMargins left="0.7" right="0.7" top="0.25" bottom="0.25" header="0.3" footer="0.3"/>
  <pageSetup scale="58" fitToHeight="2" orientation="portrait" r:id="rId1"/>
  <headerFooter>
    <oddHeader>&amp;RFY2020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Sheet10.SelectUnlockedCells">
                <anchor moveWithCells="1">
                  <from>
                    <xdr:col>7</xdr:col>
                    <xdr:colOff>28575</xdr:colOff>
                    <xdr:row>0</xdr:row>
                    <xdr:rowOff>142875</xdr:rowOff>
                  </from>
                  <to>
                    <xdr:col>8</xdr:col>
                    <xdr:colOff>295275</xdr:colOff>
                    <xdr:row>2</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DropDownDef!$F$1:$F$4</xm:f>
          </x14:formula1>
          <xm:sqref>C12</xm:sqref>
        </x14:dataValidation>
        <x14:dataValidation type="list" allowBlank="1" showInputMessage="1" showErrorMessage="1" xr:uid="{00000000-0002-0000-0000-000006000000}">
          <x14:formula1>
            <xm:f>DropDownDef!$H$1:$H$6</xm:f>
          </x14:formula1>
          <xm:sqref>F29:F32</xm:sqref>
        </x14:dataValidation>
        <x14:dataValidation type="list" allowBlank="1" showInputMessage="1" showErrorMessage="1" xr:uid="{00000000-0002-0000-0000-000007000000}">
          <x14:formula1>
            <xm:f>DropDownDef!$L$1:$L$7</xm:f>
          </x14:formula1>
          <xm:sqref>D29:D32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9"/>
  <sheetViews>
    <sheetView zoomScale="115" zoomScaleNormal="115" workbookViewId="0">
      <selection activeCell="A3" sqref="A3"/>
    </sheetView>
  </sheetViews>
  <sheetFormatPr defaultColWidth="9.140625" defaultRowHeight="15" x14ac:dyDescent="0.25"/>
  <cols>
    <col min="1" max="1" width="130.42578125" style="118" customWidth="1"/>
    <col min="2" max="16384" width="9.140625" style="143"/>
  </cols>
  <sheetData>
    <row r="1" spans="1:1" ht="21" x14ac:dyDescent="0.25">
      <c r="A1" s="142" t="s">
        <v>144</v>
      </c>
    </row>
    <row r="2" spans="1:1" x14ac:dyDescent="0.25">
      <c r="A2" s="144"/>
    </row>
    <row r="3" spans="1:1" ht="60" x14ac:dyDescent="0.25">
      <c r="A3" s="145" t="s">
        <v>145</v>
      </c>
    </row>
    <row r="4" spans="1:1" x14ac:dyDescent="0.25">
      <c r="A4" s="146"/>
    </row>
    <row r="5" spans="1:1" ht="30.95" customHeight="1" x14ac:dyDescent="0.25">
      <c r="A5" s="144" t="s">
        <v>146</v>
      </c>
    </row>
    <row r="7" spans="1:1" x14ac:dyDescent="0.25">
      <c r="A7" s="144" t="s">
        <v>147</v>
      </c>
    </row>
    <row r="8" spans="1:1" ht="30" x14ac:dyDescent="0.25">
      <c r="A8" s="118" t="s">
        <v>148</v>
      </c>
    </row>
    <row r="10" spans="1:1" x14ac:dyDescent="0.25">
      <c r="A10" s="144" t="s">
        <v>149</v>
      </c>
    </row>
    <row r="11" spans="1:1" ht="30" x14ac:dyDescent="0.25">
      <c r="A11" s="118" t="s">
        <v>150</v>
      </c>
    </row>
    <row r="12" spans="1:1" ht="7.5" customHeight="1" x14ac:dyDescent="0.25"/>
    <row r="13" spans="1:1" ht="60" x14ac:dyDescent="0.25">
      <c r="A13" s="147" t="s">
        <v>151</v>
      </c>
    </row>
    <row r="14" spans="1:1" ht="8.25" customHeight="1" x14ac:dyDescent="0.25"/>
    <row r="15" spans="1:1" s="154" customFormat="1" ht="25.5" x14ac:dyDescent="0.25">
      <c r="A15" s="154" t="s">
        <v>152</v>
      </c>
    </row>
    <row r="16" spans="1:1" ht="7.5" customHeight="1" x14ac:dyDescent="0.25">
      <c r="A16" s="147"/>
    </row>
    <row r="17" spans="1:1" ht="30" x14ac:dyDescent="0.25">
      <c r="A17" s="147" t="s">
        <v>153</v>
      </c>
    </row>
    <row r="18" spans="1:1" ht="7.5" customHeight="1" x14ac:dyDescent="0.25">
      <c r="A18" s="147"/>
    </row>
    <row r="19" spans="1:1" ht="60" x14ac:dyDescent="0.25">
      <c r="A19" s="147" t="s">
        <v>154</v>
      </c>
    </row>
    <row r="20" spans="1:1" ht="7.5" customHeight="1" x14ac:dyDescent="0.25">
      <c r="A20" s="147"/>
    </row>
    <row r="21" spans="1:1" x14ac:dyDescent="0.25">
      <c r="A21" s="154" t="s">
        <v>155</v>
      </c>
    </row>
    <row r="22" spans="1:1" ht="38.25" x14ac:dyDescent="0.25">
      <c r="A22" s="153" t="s">
        <v>156</v>
      </c>
    </row>
    <row r="23" spans="1:1" ht="4.5" customHeight="1" x14ac:dyDescent="0.25">
      <c r="A23" s="153"/>
    </row>
    <row r="24" spans="1:1" ht="25.5" x14ac:dyDescent="0.25">
      <c r="A24" s="153" t="s">
        <v>157</v>
      </c>
    </row>
    <row r="25" spans="1:1" ht="4.5" customHeight="1" x14ac:dyDescent="0.25">
      <c r="A25" s="153"/>
    </row>
    <row r="26" spans="1:1" ht="25.5" x14ac:dyDescent="0.25">
      <c r="A26" s="153" t="s">
        <v>158</v>
      </c>
    </row>
    <row r="28" spans="1:1" x14ac:dyDescent="0.25">
      <c r="A28" s="144" t="s">
        <v>159</v>
      </c>
    </row>
    <row r="29" spans="1:1" x14ac:dyDescent="0.25">
      <c r="A29" s="118" t="s">
        <v>160</v>
      </c>
    </row>
    <row r="30" spans="1:1" ht="30" x14ac:dyDescent="0.25">
      <c r="A30" s="118" t="s">
        <v>161</v>
      </c>
    </row>
    <row r="31" spans="1:1" ht="8.25" customHeight="1" x14ac:dyDescent="0.25"/>
    <row r="32" spans="1:1" ht="30" x14ac:dyDescent="0.25">
      <c r="A32" s="148" t="s">
        <v>162</v>
      </c>
    </row>
    <row r="33" spans="1:1" ht="8.25" customHeight="1" x14ac:dyDescent="0.25"/>
    <row r="34" spans="1:1" x14ac:dyDescent="0.25">
      <c r="A34" s="148" t="s">
        <v>163</v>
      </c>
    </row>
    <row r="36" spans="1:1" x14ac:dyDescent="0.25">
      <c r="A36" s="144" t="s">
        <v>37</v>
      </c>
    </row>
    <row r="37" spans="1:1" x14ac:dyDescent="0.25">
      <c r="A37" s="149" t="s">
        <v>164</v>
      </c>
    </row>
    <row r="38" spans="1:1" ht="45" x14ac:dyDescent="0.25">
      <c r="A38" s="148" t="s">
        <v>165</v>
      </c>
    </row>
    <row r="40" spans="1:1" x14ac:dyDescent="0.25">
      <c r="A40" s="149" t="s">
        <v>166</v>
      </c>
    </row>
    <row r="41" spans="1:1" x14ac:dyDescent="0.25">
      <c r="A41" s="148" t="s">
        <v>167</v>
      </c>
    </row>
    <row r="42" spans="1:1" ht="8.25" customHeight="1" x14ac:dyDescent="0.25"/>
    <row r="43" spans="1:1" x14ac:dyDescent="0.25">
      <c r="A43" s="148" t="s">
        <v>168</v>
      </c>
    </row>
    <row r="44" spans="1:1" ht="8.25" customHeight="1" x14ac:dyDescent="0.25"/>
    <row r="45" spans="1:1" ht="30" x14ac:dyDescent="0.25">
      <c r="A45" s="148" t="s">
        <v>169</v>
      </c>
    </row>
    <row r="46" spans="1:1" ht="8.25" customHeight="1" x14ac:dyDescent="0.25"/>
    <row r="47" spans="1:1" ht="38.25" x14ac:dyDescent="0.25">
      <c r="A47" s="152" t="s">
        <v>170</v>
      </c>
    </row>
    <row r="49" spans="1:1" x14ac:dyDescent="0.25">
      <c r="A49" s="149" t="s">
        <v>24</v>
      </c>
    </row>
    <row r="50" spans="1:1" ht="15.75" customHeight="1" x14ac:dyDescent="0.25">
      <c r="A50" s="148" t="s">
        <v>171</v>
      </c>
    </row>
    <row r="51" spans="1:1" ht="8.25" customHeight="1" x14ac:dyDescent="0.25"/>
    <row r="52" spans="1:1" x14ac:dyDescent="0.25">
      <c r="A52" s="154" t="s">
        <v>172</v>
      </c>
    </row>
    <row r="53" spans="1:1" x14ac:dyDescent="0.25">
      <c r="A53" s="154"/>
    </row>
    <row r="54" spans="1:1" x14ac:dyDescent="0.25">
      <c r="A54" s="144" t="s">
        <v>173</v>
      </c>
    </row>
    <row r="55" spans="1:1" ht="45" x14ac:dyDescent="0.25">
      <c r="A55" s="148" t="s">
        <v>174</v>
      </c>
    </row>
    <row r="57" spans="1:1" x14ac:dyDescent="0.25">
      <c r="A57" s="144" t="s">
        <v>175</v>
      </c>
    </row>
    <row r="59" spans="1:1" x14ac:dyDescent="0.25">
      <c r="A59" s="148" t="s">
        <v>176</v>
      </c>
    </row>
  </sheetData>
  <pageMargins left="0.7" right="0.7" top="0.75" bottom="0.75" header="0.3" footer="0.3"/>
  <pageSetup orientation="portrait" r:id="rId1"/>
  <headerFooter>
    <oddFooter>&amp;LFiscal Year 2022&amp;RPage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20"/>
  <sheetViews>
    <sheetView workbookViewId="0"/>
  </sheetViews>
  <sheetFormatPr defaultColWidth="9.140625" defaultRowHeight="15" x14ac:dyDescent="0.25"/>
  <cols>
    <col min="1" max="1" width="134.28515625" style="119" customWidth="1"/>
    <col min="2" max="16384" width="9.140625" style="4"/>
  </cols>
  <sheetData>
    <row r="2" spans="1:1" x14ac:dyDescent="0.25">
      <c r="A2" s="117" t="s">
        <v>177</v>
      </c>
    </row>
    <row r="3" spans="1:1" ht="60" x14ac:dyDescent="0.25">
      <c r="A3" s="116" t="s">
        <v>178</v>
      </c>
    </row>
    <row r="5" spans="1:1" x14ac:dyDescent="0.25">
      <c r="A5" s="117" t="s">
        <v>179</v>
      </c>
    </row>
    <row r="6" spans="1:1" ht="75" x14ac:dyDescent="0.25">
      <c r="A6" s="116" t="s">
        <v>180</v>
      </c>
    </row>
    <row r="7" spans="1:1" x14ac:dyDescent="0.25">
      <c r="A7" s="116"/>
    </row>
    <row r="8" spans="1:1" x14ac:dyDescent="0.25">
      <c r="A8" s="120" t="s">
        <v>181</v>
      </c>
    </row>
    <row r="9" spans="1:1" ht="85.5" customHeight="1" x14ac:dyDescent="0.25">
      <c r="A9" s="116" t="s">
        <v>182</v>
      </c>
    </row>
    <row r="11" spans="1:1" x14ac:dyDescent="0.25">
      <c r="A11" s="117" t="s">
        <v>183</v>
      </c>
    </row>
    <row r="12" spans="1:1" ht="45" x14ac:dyDescent="0.25">
      <c r="A12" s="116" t="s">
        <v>184</v>
      </c>
    </row>
    <row r="14" spans="1:1" x14ac:dyDescent="0.25">
      <c r="A14" s="117" t="s">
        <v>185</v>
      </c>
    </row>
    <row r="15" spans="1:1" ht="210" x14ac:dyDescent="0.25">
      <c r="A15" s="116" t="s">
        <v>186</v>
      </c>
    </row>
    <row r="16" spans="1:1" x14ac:dyDescent="0.25">
      <c r="A16" s="116"/>
    </row>
    <row r="17" spans="1:1" x14ac:dyDescent="0.25">
      <c r="A17" s="116"/>
    </row>
    <row r="19" spans="1:1" x14ac:dyDescent="0.25">
      <c r="A19" s="116"/>
    </row>
    <row r="20" spans="1:1" x14ac:dyDescent="0.25">
      <c r="A20" s="1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A2" sqref="A2"/>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2:M10"/>
  <sheetViews>
    <sheetView workbookViewId="0">
      <selection activeCell="F3" sqref="F3"/>
    </sheetView>
  </sheetViews>
  <sheetFormatPr defaultColWidth="9" defaultRowHeight="15" x14ac:dyDescent="0.25"/>
  <cols>
    <col min="1" max="1" width="2.42578125" bestFit="1" customWidth="1"/>
    <col min="2" max="2" width="7.140625" bestFit="1" customWidth="1"/>
    <col min="3" max="3" width="7.42578125" bestFit="1" customWidth="1"/>
    <col min="4" max="4" width="15.140625" bestFit="1" customWidth="1"/>
    <col min="5" max="5" width="27.85546875" bestFit="1" customWidth="1"/>
    <col min="6" max="6" width="42.140625" customWidth="1"/>
    <col min="7" max="7" width="32.42578125" bestFit="1" customWidth="1"/>
    <col min="8" max="8" width="19" bestFit="1" customWidth="1"/>
  </cols>
  <sheetData>
    <row r="2" spans="1:13" x14ac:dyDescent="0.25">
      <c r="A2" t="s">
        <v>187</v>
      </c>
      <c r="B2" s="3" t="s">
        <v>188</v>
      </c>
      <c r="C2" t="s">
        <v>4</v>
      </c>
      <c r="D2" t="s">
        <v>9</v>
      </c>
      <c r="E2" t="s">
        <v>14</v>
      </c>
      <c r="F2" t="s">
        <v>3</v>
      </c>
      <c r="G2" t="s">
        <v>189</v>
      </c>
      <c r="H2">
        <v>1</v>
      </c>
      <c r="I2" s="3"/>
      <c r="J2" t="s">
        <v>190</v>
      </c>
      <c r="L2" s="55" t="s">
        <v>89</v>
      </c>
    </row>
    <row r="3" spans="1:13" ht="17.25" x14ac:dyDescent="0.25">
      <c r="A3" t="s">
        <v>191</v>
      </c>
      <c r="B3" s="2" t="s">
        <v>61</v>
      </c>
      <c r="C3" t="s">
        <v>5</v>
      </c>
      <c r="D3" t="s">
        <v>192</v>
      </c>
      <c r="E3" t="s">
        <v>190</v>
      </c>
      <c r="F3" s="128" t="s">
        <v>193</v>
      </c>
      <c r="G3" t="s">
        <v>16</v>
      </c>
      <c r="H3">
        <f>H2*2</f>
        <v>2</v>
      </c>
      <c r="I3" s="1"/>
      <c r="J3" t="s">
        <v>14</v>
      </c>
      <c r="L3" s="55" t="s">
        <v>63</v>
      </c>
      <c r="M3" s="110"/>
    </row>
    <row r="4" spans="1:13" ht="17.25" x14ac:dyDescent="0.25">
      <c r="B4" s="3" t="s">
        <v>62</v>
      </c>
      <c r="D4" t="s">
        <v>194</v>
      </c>
      <c r="E4" t="s">
        <v>195</v>
      </c>
      <c r="F4" s="128" t="s">
        <v>200</v>
      </c>
      <c r="H4">
        <f>H3+1</f>
        <v>3</v>
      </c>
      <c r="I4" s="1"/>
      <c r="J4" t="s">
        <v>17</v>
      </c>
      <c r="L4" s="55" t="s">
        <v>65</v>
      </c>
    </row>
    <row r="5" spans="1:13" x14ac:dyDescent="0.25">
      <c r="B5" s="1" t="s">
        <v>63</v>
      </c>
      <c r="E5" t="s">
        <v>17</v>
      </c>
      <c r="H5">
        <f t="shared" ref="H5:H6" si="0">H4+1</f>
        <v>4</v>
      </c>
      <c r="I5" s="1"/>
      <c r="L5" s="55" t="s">
        <v>67</v>
      </c>
    </row>
    <row r="6" spans="1:13" x14ac:dyDescent="0.25">
      <c r="B6" s="1" t="s">
        <v>64</v>
      </c>
      <c r="E6" t="s">
        <v>196</v>
      </c>
      <c r="H6">
        <f t="shared" si="0"/>
        <v>5</v>
      </c>
      <c r="I6" s="1"/>
      <c r="L6" s="55" t="s">
        <v>69</v>
      </c>
    </row>
    <row r="7" spans="1:13" x14ac:dyDescent="0.25">
      <c r="B7" s="1" t="s">
        <v>65</v>
      </c>
      <c r="E7" t="s">
        <v>197</v>
      </c>
      <c r="I7" s="2"/>
      <c r="L7" s="55" t="s">
        <v>90</v>
      </c>
    </row>
    <row r="8" spans="1:13" x14ac:dyDescent="0.25">
      <c r="B8" s="1" t="s">
        <v>67</v>
      </c>
      <c r="E8" t="s">
        <v>198</v>
      </c>
    </row>
    <row r="9" spans="1:13" x14ac:dyDescent="0.25">
      <c r="B9" s="1" t="s">
        <v>69</v>
      </c>
      <c r="E9" t="s">
        <v>199</v>
      </c>
    </row>
    <row r="10" spans="1:13" x14ac:dyDescent="0.25">
      <c r="B10" s="1"/>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Estimator Tool &amp; Fees</vt:lpstr>
      <vt:lpstr>Instructions</vt:lpstr>
      <vt:lpstr>FAQs</vt:lpstr>
      <vt:lpstr>IIA Boundaries</vt:lpstr>
      <vt:lpstr>DropDownDef</vt:lpstr>
      <vt:lpstr>Checklist</vt:lpstr>
      <vt:lpstr>City_County</vt:lpstr>
      <vt:lpstr>CommercialCat</vt:lpstr>
      <vt:lpstr>ConnectionType</vt:lpstr>
      <vt:lpstr>IIA</vt:lpstr>
      <vt:lpstr>InspectionFees</vt:lpstr>
      <vt:lpstr>Meter</vt:lpstr>
      <vt:lpstr>MeterInstallType</vt:lpstr>
      <vt:lpstr>MeterSizes</vt:lpstr>
      <vt:lpstr>NonResCat</vt:lpstr>
      <vt:lpstr>NonResCategories</vt:lpstr>
      <vt:lpstr>NonResidentialCat</vt:lpstr>
      <vt:lpstr>'Estimator Tool &amp; Fees'!Print_Area</vt:lpstr>
      <vt:lpstr>Instructions!Print_Titles</vt:lpstr>
      <vt:lpstr>Requests</vt:lpstr>
      <vt:lpstr>Tapping</vt:lpstr>
      <vt:lpstr>Yes_No</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Sealey, Kristen M</dc:creator>
  <cp:keywords/>
  <dc:description/>
  <cp:lastModifiedBy>Sheridan, M. Scott</cp:lastModifiedBy>
  <cp:revision/>
  <dcterms:created xsi:type="dcterms:W3CDTF">2015-06-11T17:06:32Z</dcterms:created>
  <dcterms:modified xsi:type="dcterms:W3CDTF">2023-10-05T19:00:55Z</dcterms:modified>
  <cp:category/>
  <cp:contentStatus/>
</cp:coreProperties>
</file>